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-105" yWindow="-105" windowWidth="20730" windowHeight="11760"/>
  </bookViews>
  <sheets>
    <sheet name="Sheet1" sheetId="1" r:id="rId1"/>
  </sheets>
  <definedNames>
    <definedName name="_xlnm._FilterDatabase" localSheetId="0" hidden="1">Sheet1!$A$1:$D$141</definedName>
    <definedName name="BaslaSatir">Sheet1!#REF!</definedName>
    <definedName name="BaslaSatir2">Sheet1!#REF!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/>
  <c r="M16" s="1"/>
  <c r="G17"/>
  <c r="E17"/>
  <c r="M17" s="1"/>
  <c r="G57"/>
  <c r="M57" s="1"/>
  <c r="E57"/>
  <c r="E97" l="1"/>
  <c r="G97"/>
  <c r="G13"/>
  <c r="E13"/>
  <c r="M97" l="1"/>
  <c r="M13"/>
  <c r="G55"/>
  <c r="G122" l="1"/>
  <c r="G118"/>
  <c r="G115"/>
  <c r="G119"/>
  <c r="G128"/>
  <c r="G126"/>
  <c r="G127"/>
  <c r="G130"/>
  <c r="G129"/>
  <c r="G124"/>
  <c r="G111"/>
  <c r="G123"/>
  <c r="G120"/>
  <c r="G114"/>
  <c r="G125"/>
  <c r="G116"/>
  <c r="G131"/>
  <c r="G113"/>
  <c r="G112"/>
  <c r="G121"/>
  <c r="G117"/>
  <c r="G108"/>
  <c r="G110"/>
  <c r="G109"/>
  <c r="G106"/>
  <c r="G107"/>
  <c r="G104"/>
  <c r="G105"/>
  <c r="G101"/>
  <c r="G103"/>
  <c r="G102"/>
  <c r="G87"/>
  <c r="G94"/>
  <c r="G95"/>
  <c r="G68"/>
  <c r="G81"/>
  <c r="G79"/>
  <c r="G86"/>
  <c r="G72"/>
  <c r="G77"/>
  <c r="G85"/>
  <c r="G71"/>
  <c r="G78"/>
  <c r="G92"/>
  <c r="G83"/>
  <c r="G96"/>
  <c r="G74"/>
  <c r="G84"/>
  <c r="G80"/>
  <c r="G100"/>
  <c r="G91"/>
  <c r="G69"/>
  <c r="G75"/>
  <c r="G82"/>
  <c r="G90"/>
  <c r="G98"/>
  <c r="G70"/>
  <c r="G99"/>
  <c r="G73"/>
  <c r="G93"/>
  <c r="G76"/>
  <c r="G88"/>
  <c r="G67"/>
  <c r="G89"/>
  <c r="G65"/>
  <c r="G66"/>
  <c r="G53"/>
  <c r="G63"/>
  <c r="G58"/>
  <c r="G64"/>
  <c r="G56"/>
  <c r="G52"/>
  <c r="G59"/>
  <c r="G62"/>
  <c r="G60"/>
  <c r="G61"/>
  <c r="G54"/>
  <c r="G51"/>
  <c r="G46"/>
  <c r="G45"/>
  <c r="G50"/>
  <c r="G49"/>
  <c r="G47"/>
  <c r="G48"/>
  <c r="G44"/>
  <c r="G36"/>
  <c r="G37"/>
  <c r="G39"/>
  <c r="G40"/>
  <c r="G43"/>
  <c r="G41"/>
  <c r="G38"/>
  <c r="G42"/>
  <c r="G19"/>
  <c r="G25"/>
  <c r="G29"/>
  <c r="G23"/>
  <c r="G24"/>
  <c r="G22"/>
  <c r="G30"/>
  <c r="G28"/>
  <c r="G21"/>
  <c r="G33"/>
  <c r="G34"/>
  <c r="G26"/>
  <c r="G27"/>
  <c r="G31"/>
  <c r="G32"/>
  <c r="G35"/>
  <c r="G20"/>
  <c r="G18"/>
  <c r="G15"/>
  <c r="G11"/>
  <c r="G12"/>
  <c r="G14"/>
  <c r="G10"/>
  <c r="G8"/>
  <c r="G9"/>
  <c r="G5"/>
  <c r="G3"/>
  <c r="G2"/>
  <c r="G7"/>
  <c r="G6"/>
  <c r="G4"/>
  <c r="E122"/>
  <c r="E118"/>
  <c r="E115"/>
  <c r="E119"/>
  <c r="E128"/>
  <c r="E126"/>
  <c r="E127"/>
  <c r="E130"/>
  <c r="E129"/>
  <c r="E124"/>
  <c r="E111"/>
  <c r="E123"/>
  <c r="E120"/>
  <c r="E114"/>
  <c r="E125"/>
  <c r="E116"/>
  <c r="E131"/>
  <c r="E113"/>
  <c r="E112"/>
  <c r="E121"/>
  <c r="E117"/>
  <c r="E108"/>
  <c r="E110"/>
  <c r="E109"/>
  <c r="E106"/>
  <c r="E107"/>
  <c r="E104"/>
  <c r="E105"/>
  <c r="E101"/>
  <c r="E103"/>
  <c r="E102"/>
  <c r="E87"/>
  <c r="E94"/>
  <c r="E95"/>
  <c r="E68"/>
  <c r="E81"/>
  <c r="E79"/>
  <c r="E86"/>
  <c r="E72"/>
  <c r="E77"/>
  <c r="E85"/>
  <c r="E71"/>
  <c r="E78"/>
  <c r="E92"/>
  <c r="E83"/>
  <c r="E96"/>
  <c r="E74"/>
  <c r="E84"/>
  <c r="E80"/>
  <c r="E100"/>
  <c r="E91"/>
  <c r="E69"/>
  <c r="E75"/>
  <c r="E82"/>
  <c r="E90"/>
  <c r="E98"/>
  <c r="E70"/>
  <c r="E99"/>
  <c r="E73"/>
  <c r="E93"/>
  <c r="E76"/>
  <c r="E88"/>
  <c r="E67"/>
  <c r="E89"/>
  <c r="E65"/>
  <c r="E66"/>
  <c r="E53"/>
  <c r="E55"/>
  <c r="M55" s="1"/>
  <c r="E63"/>
  <c r="E58"/>
  <c r="E64"/>
  <c r="E56"/>
  <c r="E52"/>
  <c r="E59"/>
  <c r="E62"/>
  <c r="E60"/>
  <c r="E61"/>
  <c r="E54"/>
  <c r="E51"/>
  <c r="E46"/>
  <c r="E45"/>
  <c r="E50"/>
  <c r="E49"/>
  <c r="E47"/>
  <c r="E48"/>
  <c r="E44"/>
  <c r="E36"/>
  <c r="E37"/>
  <c r="E39"/>
  <c r="E40"/>
  <c r="E43"/>
  <c r="E41"/>
  <c r="E38"/>
  <c r="E42"/>
  <c r="E19"/>
  <c r="E25"/>
  <c r="E29"/>
  <c r="E23"/>
  <c r="E24"/>
  <c r="E22"/>
  <c r="E30"/>
  <c r="E28"/>
  <c r="E21"/>
  <c r="E33"/>
  <c r="E34"/>
  <c r="E26"/>
  <c r="E27"/>
  <c r="E31"/>
  <c r="E32"/>
  <c r="E35"/>
  <c r="E20"/>
  <c r="E18"/>
  <c r="E15"/>
  <c r="E11"/>
  <c r="E12"/>
  <c r="E14"/>
  <c r="E10"/>
  <c r="E8"/>
  <c r="E9"/>
  <c r="E5"/>
  <c r="E3"/>
  <c r="E2"/>
  <c r="E7"/>
  <c r="E6"/>
  <c r="E4"/>
  <c r="M66" l="1"/>
  <c r="M88"/>
  <c r="M90"/>
  <c r="M91"/>
  <c r="M74"/>
  <c r="M78"/>
  <c r="M72"/>
  <c r="M68"/>
  <c r="M102"/>
  <c r="M104"/>
  <c r="M110"/>
  <c r="M112"/>
  <c r="M125"/>
  <c r="M111"/>
  <c r="M127"/>
  <c r="M115"/>
  <c r="M14"/>
  <c r="M35"/>
  <c r="M26"/>
  <c r="M28"/>
  <c r="M23"/>
  <c r="M42"/>
  <c r="M40"/>
  <c r="M44"/>
  <c r="M50"/>
  <c r="M54"/>
  <c r="M62"/>
  <c r="M64"/>
  <c r="M2"/>
  <c r="M9"/>
  <c r="M4"/>
  <c r="M8"/>
  <c r="M18"/>
  <c r="M34"/>
  <c r="M30"/>
  <c r="M38"/>
  <c r="M39"/>
  <c r="M45"/>
  <c r="M59"/>
  <c r="M6"/>
  <c r="M11"/>
  <c r="M31"/>
  <c r="M33"/>
  <c r="M22"/>
  <c r="M25"/>
  <c r="M41"/>
  <c r="M37"/>
  <c r="M47"/>
  <c r="M46"/>
  <c r="M61"/>
  <c r="M52"/>
  <c r="M63"/>
  <c r="M65"/>
  <c r="M76"/>
  <c r="M99"/>
  <c r="M82"/>
  <c r="M100"/>
  <c r="M96"/>
  <c r="M71"/>
  <c r="M86"/>
  <c r="M95"/>
  <c r="M103"/>
  <c r="M107"/>
  <c r="M108"/>
  <c r="M113"/>
  <c r="M114"/>
  <c r="M124"/>
  <c r="M126"/>
  <c r="M118"/>
  <c r="M3"/>
  <c r="M12"/>
  <c r="M32"/>
  <c r="M29"/>
  <c r="M48"/>
  <c r="M58"/>
  <c r="M53"/>
  <c r="M67"/>
  <c r="M73"/>
  <c r="M98"/>
  <c r="M69"/>
  <c r="M84"/>
  <c r="M92"/>
  <c r="M77"/>
  <c r="M81"/>
  <c r="M87"/>
  <c r="M105"/>
  <c r="M109"/>
  <c r="M121"/>
  <c r="M116"/>
  <c r="M123"/>
  <c r="M130"/>
  <c r="M119"/>
  <c r="M7"/>
  <c r="M5"/>
  <c r="M10"/>
  <c r="M15"/>
  <c r="M20"/>
  <c r="M27"/>
  <c r="M21"/>
  <c r="M24"/>
  <c r="M19"/>
  <c r="M43"/>
  <c r="M36"/>
  <c r="M49"/>
  <c r="M51"/>
  <c r="M60"/>
  <c r="M56"/>
  <c r="M89"/>
  <c r="M93"/>
  <c r="M70"/>
  <c r="M75"/>
  <c r="M80"/>
  <c r="M83"/>
  <c r="M85"/>
  <c r="M79"/>
  <c r="M94"/>
  <c r="M101"/>
  <c r="M106"/>
  <c r="M117"/>
  <c r="M131"/>
  <c r="M120"/>
  <c r="M129"/>
  <c r="M128"/>
  <c r="M122"/>
</calcChain>
</file>

<file path=xl/sharedStrings.xml><?xml version="1.0" encoding="utf-8"?>
<sst xmlns="http://schemas.openxmlformats.org/spreadsheetml/2006/main" count="664" uniqueCount="388">
  <si>
    <t>Ad Soyad</t>
  </si>
  <si>
    <t>Fakülte</t>
  </si>
  <si>
    <t>Not Ortalaması</t>
  </si>
  <si>
    <t>Oğrenci No</t>
  </si>
  <si>
    <t>HAMİDİYE HEMŞİRELİK FAKÜLTESİ</t>
  </si>
  <si>
    <t>GÜLHANE TIP FAKÜLTESİ</t>
  </si>
  <si>
    <t>GÜLHANE SAĞLIK MESLEK YÜKSEKOKULU (ANKARA)</t>
  </si>
  <si>
    <t>HAMİDİYE SAĞLIK BİLİMLERİ FAKÜLTESİ</t>
  </si>
  <si>
    <t>HAMİDİYE SAĞLIK BİLİMLERİ ENSTİTÜSÜ</t>
  </si>
  <si>
    <t>HAMİDİYE SAĞLIK HİZMETLERİ MESLEK YÜKSEKOKULU (İSTANBUL)</t>
  </si>
  <si>
    <t>HAMİDİYE ULUSLARARASI TIP FAKÜLTESİ</t>
  </si>
  <si>
    <t>GÜLHANE DİŞ HEKİMLİĞİ FAKÜLTESİ (ANKARA)</t>
  </si>
  <si>
    <t>GÜLHANE SAĞLIK BİLİMLERİ FAKÜLTESİ</t>
  </si>
  <si>
    <t>GÜLHANE FİZYOTERAPİ VE REHABİLİTASYON FAKÜLTESİ</t>
  </si>
  <si>
    <t>HAMİDİYE YAŞAM BİLİMLERİ FAKÜLTESİ</t>
  </si>
  <si>
    <t>HAMİDİYE DİŞ HEKİMLİĞİ FAKÜLTESİ</t>
  </si>
  <si>
    <t>GÜLHANE HEMŞİRELİK FAKÜLTESİ</t>
  </si>
  <si>
    <t>HAMİDİYE TIP FAKÜLTESİ</t>
  </si>
  <si>
    <t>GÜLHANE SAĞLIK BİLİMLERİ ENSTİTÜSÜ</t>
  </si>
  <si>
    <t>HAMİDİYE ECZACILIK FAKÜLTESİ</t>
  </si>
  <si>
    <t>GÜLHANE ECZACILIK FAKÜLTESİ</t>
  </si>
  <si>
    <t>Not Ortalama %50</t>
  </si>
  <si>
    <t>Yabancı Dil Puanı</t>
  </si>
  <si>
    <t>Yabancı Dil %50</t>
  </si>
  <si>
    <t>Şehit Gazi</t>
  </si>
  <si>
    <t>Engellilik</t>
  </si>
  <si>
    <t>Devlet Koruması</t>
  </si>
  <si>
    <t>Depremzede</t>
  </si>
  <si>
    <t>Daha Önce Yararlanma</t>
  </si>
  <si>
    <t xml:space="preserve">Puan </t>
  </si>
  <si>
    <t>Başarı Durumu</t>
  </si>
  <si>
    <t xml:space="preserve">84.36 </t>
  </si>
  <si>
    <t xml:space="preserve">82.26 </t>
  </si>
  <si>
    <t>84.36</t>
  </si>
  <si>
    <t xml:space="preserve">88.33 </t>
  </si>
  <si>
    <t xml:space="preserve">85.53 </t>
  </si>
  <si>
    <t xml:space="preserve">86.70 </t>
  </si>
  <si>
    <t>74.80</t>
  </si>
  <si>
    <t>77.36</t>
  </si>
  <si>
    <t xml:space="preserve">75.03 </t>
  </si>
  <si>
    <t xml:space="preserve">78.30 </t>
  </si>
  <si>
    <t xml:space="preserve">92.30 </t>
  </si>
  <si>
    <t xml:space="preserve">72.46 </t>
  </si>
  <si>
    <t xml:space="preserve">80.40 </t>
  </si>
  <si>
    <t xml:space="preserve">82.96 </t>
  </si>
  <si>
    <t xml:space="preserve">79.46 </t>
  </si>
  <si>
    <t>59.63</t>
  </si>
  <si>
    <t>96.73</t>
  </si>
  <si>
    <t xml:space="preserve">99.06 </t>
  </si>
  <si>
    <t>65.23</t>
  </si>
  <si>
    <t xml:space="preserve">58.46 </t>
  </si>
  <si>
    <t xml:space="preserve">73.63 </t>
  </si>
  <si>
    <t xml:space="preserve">66.16 </t>
  </si>
  <si>
    <t xml:space="preserve">82.03 </t>
  </si>
  <si>
    <t xml:space="preserve">81.10 </t>
  </si>
  <si>
    <t xml:space="preserve">79.70 </t>
  </si>
  <si>
    <t>81.80</t>
  </si>
  <si>
    <t xml:space="preserve">78.06 </t>
  </si>
  <si>
    <t>75.96</t>
  </si>
  <si>
    <t xml:space="preserve">80.16 </t>
  </si>
  <si>
    <t xml:space="preserve">86.46 </t>
  </si>
  <si>
    <t>87.63</t>
  </si>
  <si>
    <t>87.86</t>
  </si>
  <si>
    <t>86.00</t>
  </si>
  <si>
    <t>78.53</t>
  </si>
  <si>
    <t>58.46</t>
  </si>
  <si>
    <t xml:space="preserve">70.83 </t>
  </si>
  <si>
    <t xml:space="preserve">60.56 </t>
  </si>
  <si>
    <t xml:space="preserve">65.00 </t>
  </si>
  <si>
    <t>77.60</t>
  </si>
  <si>
    <t xml:space="preserve">85.30 </t>
  </si>
  <si>
    <t>79.46</t>
  </si>
  <si>
    <t>73.86</t>
  </si>
  <si>
    <t xml:space="preserve">88.80 </t>
  </si>
  <si>
    <t>80.86</t>
  </si>
  <si>
    <t>75.26</t>
  </si>
  <si>
    <t xml:space="preserve">75.73 </t>
  </si>
  <si>
    <t xml:space="preserve">77.60 </t>
  </si>
  <si>
    <t>83.20</t>
  </si>
  <si>
    <t xml:space="preserve">82.50 </t>
  </si>
  <si>
    <t xml:space="preserve">84.83 </t>
  </si>
  <si>
    <t xml:space="preserve">61.03 </t>
  </si>
  <si>
    <t>65.93</t>
  </si>
  <si>
    <t xml:space="preserve">72.23 </t>
  </si>
  <si>
    <t xml:space="preserve">81.80 </t>
  </si>
  <si>
    <t>97.66</t>
  </si>
  <si>
    <t xml:space="preserve">97.66 </t>
  </si>
  <si>
    <t xml:space="preserve">80.63 </t>
  </si>
  <si>
    <t xml:space="preserve">75.26 </t>
  </si>
  <si>
    <t>89.26</t>
  </si>
  <si>
    <t xml:space="preserve">73.40 </t>
  </si>
  <si>
    <t>71.53</t>
  </si>
  <si>
    <t>91.36</t>
  </si>
  <si>
    <t>61.96</t>
  </si>
  <si>
    <t>75.73</t>
  </si>
  <si>
    <t xml:space="preserve">76.43 </t>
  </si>
  <si>
    <t>93.46</t>
  </si>
  <si>
    <t xml:space="preserve">84.60 </t>
  </si>
  <si>
    <t xml:space="preserve">90.90 </t>
  </si>
  <si>
    <t xml:space="preserve">74.10 </t>
  </si>
  <si>
    <t xml:space="preserve">62.66 </t>
  </si>
  <si>
    <t xml:space="preserve">74.56 </t>
  </si>
  <si>
    <t>78.06</t>
  </si>
  <si>
    <t xml:space="preserve">71.06 </t>
  </si>
  <si>
    <t xml:space="preserve">64.30 </t>
  </si>
  <si>
    <t xml:space="preserve">67.10 </t>
  </si>
  <si>
    <t xml:space="preserve">77.36 </t>
  </si>
  <si>
    <t>83.90</t>
  </si>
  <si>
    <t xml:space="preserve">93.00 </t>
  </si>
  <si>
    <t>79.93</t>
  </si>
  <si>
    <t xml:space="preserve">79.23 </t>
  </si>
  <si>
    <t xml:space="preserve">79.00 </t>
  </si>
  <si>
    <t>74.33</t>
  </si>
  <si>
    <t>68.50</t>
  </si>
  <si>
    <t>74.10</t>
  </si>
  <si>
    <t xml:space="preserve">71.76 </t>
  </si>
  <si>
    <t>63.36</t>
  </si>
  <si>
    <t>82.26</t>
  </si>
  <si>
    <t xml:space="preserve">78.53 </t>
  </si>
  <si>
    <t>62.43</t>
  </si>
  <si>
    <t>65.00</t>
  </si>
  <si>
    <t xml:space="preserve">76.90 </t>
  </si>
  <si>
    <t>89.96</t>
  </si>
  <si>
    <t>91.13</t>
  </si>
  <si>
    <t>59.86</t>
  </si>
  <si>
    <t>86.23</t>
  </si>
  <si>
    <t xml:space="preserve">91.60 </t>
  </si>
  <si>
    <t>60.33</t>
  </si>
  <si>
    <t xml:space="preserve">85.76 </t>
  </si>
  <si>
    <t xml:space="preserve">90.20 </t>
  </si>
  <si>
    <t>82.03</t>
  </si>
  <si>
    <t>99.53</t>
  </si>
  <si>
    <t>YEDEK</t>
  </si>
  <si>
    <t>ASIL</t>
  </si>
  <si>
    <t>E*** KA***</t>
  </si>
  <si>
    <t>221***1099</t>
  </si>
  <si>
    <t>İ*** UĞ***</t>
  </si>
  <si>
    <t>221***1063</t>
  </si>
  <si>
    <t>A*** B*** AK***</t>
  </si>
  <si>
    <t>221***1088</t>
  </si>
  <si>
    <t>Z*** N*** LA***</t>
  </si>
  <si>
    <t>191***019</t>
  </si>
  <si>
    <t>B*** AV***</t>
  </si>
  <si>
    <t>201***1015</t>
  </si>
  <si>
    <t>D*** SE***</t>
  </si>
  <si>
    <t>221***1096</t>
  </si>
  <si>
    <t>M*** N*** ÇE***</t>
  </si>
  <si>
    <t>191***031</t>
  </si>
  <si>
    <t>G*** CE***</t>
  </si>
  <si>
    <t>191***022</t>
  </si>
  <si>
    <t>K*** KE***</t>
  </si>
  <si>
    <t>201***5033</t>
  </si>
  <si>
    <t>T*** DE***</t>
  </si>
  <si>
    <t>213***1063</t>
  </si>
  <si>
    <t>S*** B*** ÖZ***</t>
  </si>
  <si>
    <t>201***5045</t>
  </si>
  <si>
    <t>İ*** KO***</t>
  </si>
  <si>
    <t>213***1020</t>
  </si>
  <si>
    <t>M*** KA***</t>
  </si>
  <si>
    <t>213***1043</t>
  </si>
  <si>
    <t>N*** TÖ***</t>
  </si>
  <si>
    <t>201***2038</t>
  </si>
  <si>
    <t>E*** M*** Z*** ÇO***</t>
  </si>
  <si>
    <t>210***020</t>
  </si>
  <si>
    <t>Ş*** AD***</t>
  </si>
  <si>
    <t>200***050</t>
  </si>
  <si>
    <t>E*** SE***</t>
  </si>
  <si>
    <t>190***030</t>
  </si>
  <si>
    <t>Ş*** E*** KA***</t>
  </si>
  <si>
    <t>221***3035</t>
  </si>
  <si>
    <t>A*** DE***</t>
  </si>
  <si>
    <t>221***7256</t>
  </si>
  <si>
    <t>İ*** AL***</t>
  </si>
  <si>
    <t>211***4028</t>
  </si>
  <si>
    <t>M*** NA***</t>
  </si>
  <si>
    <t>201***8010</t>
  </si>
  <si>
    <t>Ö*** ER***</t>
  </si>
  <si>
    <t>211***2437</t>
  </si>
  <si>
    <t>N*** YI***</t>
  </si>
  <si>
    <t>211***1809</t>
  </si>
  <si>
    <t>R*** TE***</t>
  </si>
  <si>
    <t>201***1022</t>
  </si>
  <si>
    <t>G*** KA***</t>
  </si>
  <si>
    <t>211***2702</t>
  </si>
  <si>
    <t>211***4009</t>
  </si>
  <si>
    <t>M*** ÖZ***</t>
  </si>
  <si>
    <t>201***4068</t>
  </si>
  <si>
    <t>R*** A*** YA***</t>
  </si>
  <si>
    <t>201***1079</t>
  </si>
  <si>
    <t>211***2444</t>
  </si>
  <si>
    <t>F*** PE***</t>
  </si>
  <si>
    <t>201***4024</t>
  </si>
  <si>
    <t>C*** ÖZ***</t>
  </si>
  <si>
    <t>201***3044</t>
  </si>
  <si>
    <t>I*** US***</t>
  </si>
  <si>
    <t>211***2401</t>
  </si>
  <si>
    <t>H*** S*** YÜ***</t>
  </si>
  <si>
    <t>211***2420</t>
  </si>
  <si>
    <t>B*** SA***</t>
  </si>
  <si>
    <t>201***4054</t>
  </si>
  <si>
    <t>H*** N*** SA***</t>
  </si>
  <si>
    <t>202***2002</t>
  </si>
  <si>
    <t>B*** ŞA***</t>
  </si>
  <si>
    <t>212***2812</t>
  </si>
  <si>
    <t>B*** BU***</t>
  </si>
  <si>
    <t>212***2013</t>
  </si>
  <si>
    <t>D*** ÜL***</t>
  </si>
  <si>
    <t>202***2028</t>
  </si>
  <si>
    <t>Ş*** AR***</t>
  </si>
  <si>
    <t>202***2040</t>
  </si>
  <si>
    <t>B*** SE***</t>
  </si>
  <si>
    <t>202***2052</t>
  </si>
  <si>
    <t>B*** DE***</t>
  </si>
  <si>
    <t>222***2101</t>
  </si>
  <si>
    <t>Y*** E*** AT***</t>
  </si>
  <si>
    <t>212***2802</t>
  </si>
  <si>
    <t>S*** TA***</t>
  </si>
  <si>
    <t>212***2068</t>
  </si>
  <si>
    <t>E*** M*** PA***</t>
  </si>
  <si>
    <t>202***2015</t>
  </si>
  <si>
    <t>B*** ÜC***</t>
  </si>
  <si>
    <t>222***2059</t>
  </si>
  <si>
    <t>Z*** KI***</t>
  </si>
  <si>
    <t>212***2007</t>
  </si>
  <si>
    <t>F*** LA***</t>
  </si>
  <si>
    <t>212***2810</t>
  </si>
  <si>
    <t>İ*** İN***</t>
  </si>
  <si>
    <t>222***2071</t>
  </si>
  <si>
    <t>B*** S*** AR***</t>
  </si>
  <si>
    <t>222***2026</t>
  </si>
  <si>
    <t>S*** KO***</t>
  </si>
  <si>
    <t>212***2073</t>
  </si>
  <si>
    <t>R*** AR***</t>
  </si>
  <si>
    <t>202***2051</t>
  </si>
  <si>
    <t>S*** Z*** KA***</t>
  </si>
  <si>
    <t>222***2068</t>
  </si>
  <si>
    <t>M*** S*** UÇ***</t>
  </si>
  <si>
    <t>202***2041</t>
  </si>
  <si>
    <t>M*** GE***</t>
  </si>
  <si>
    <t>222***2030</t>
  </si>
  <si>
    <t>B*** AK***</t>
  </si>
  <si>
    <t>212***2033</t>
  </si>
  <si>
    <t>B*** E*** AS***</t>
  </si>
  <si>
    <t>200***9067</t>
  </si>
  <si>
    <t>Z*** AY***</t>
  </si>
  <si>
    <t>200***1078</t>
  </si>
  <si>
    <t>K*** AC***</t>
  </si>
  <si>
    <t>200***5016</t>
  </si>
  <si>
    <t>E*** YI***</t>
  </si>
  <si>
    <t>200***9018</t>
  </si>
  <si>
    <t>S*** KA***</t>
  </si>
  <si>
    <t>210***6020</t>
  </si>
  <si>
    <t>T*** YI***</t>
  </si>
  <si>
    <t>200***8025</t>
  </si>
  <si>
    <t>D*** AY***</t>
  </si>
  <si>
    <t>200***3074</t>
  </si>
  <si>
    <t>Mİ*** GE***</t>
  </si>
  <si>
    <t>200***5029</t>
  </si>
  <si>
    <t>İ*** DU***</t>
  </si>
  <si>
    <t>200***1021</t>
  </si>
  <si>
    <t>200***5020</t>
  </si>
  <si>
    <t>T*** KA***</t>
  </si>
  <si>
    <t>210***4065</t>
  </si>
  <si>
    <t>S*** N*** PO***</t>
  </si>
  <si>
    <t>200***8063</t>
  </si>
  <si>
    <t>Y*** D*** ÖZ***</t>
  </si>
  <si>
    <t>200***1010</t>
  </si>
  <si>
    <t>M*** ÜN***</t>
  </si>
  <si>
    <t>210***1406</t>
  </si>
  <si>
    <t>Y*** KE***</t>
  </si>
  <si>
    <t>210***4010</t>
  </si>
  <si>
    <t>G*** AK***</t>
  </si>
  <si>
    <t>200***4044</t>
  </si>
  <si>
    <t>Ö*** KA***</t>
  </si>
  <si>
    <t>210***5015</t>
  </si>
  <si>
    <t>200***4080</t>
  </si>
  <si>
    <t>Ş*** ŞE***</t>
  </si>
  <si>
    <t>210***1403</t>
  </si>
  <si>
    <t>Y*** LE***</t>
  </si>
  <si>
    <t>210***5805</t>
  </si>
  <si>
    <t>Z*** KE***</t>
  </si>
  <si>
    <t>200***1007</t>
  </si>
  <si>
    <t>B*** ÖZ***</t>
  </si>
  <si>
    <t>210***1469</t>
  </si>
  <si>
    <t>B*** E*** BU***</t>
  </si>
  <si>
    <t>210***8030</t>
  </si>
  <si>
    <t>G*** B*** ÇA***</t>
  </si>
  <si>
    <t>210***6019</t>
  </si>
  <si>
    <t>M*** MO***</t>
  </si>
  <si>
    <t>210***4811</t>
  </si>
  <si>
    <t>R*** KU***</t>
  </si>
  <si>
    <t>210***6036</t>
  </si>
  <si>
    <t>C*** Fİ***</t>
  </si>
  <si>
    <t>210***1410</t>
  </si>
  <si>
    <t>Z*** CE***</t>
  </si>
  <si>
    <t>200***2039</t>
  </si>
  <si>
    <t>Z*** N*** GE***</t>
  </si>
  <si>
    <t>220***2045</t>
  </si>
  <si>
    <t>N*** N*** KA***</t>
  </si>
  <si>
    <t>200***8046</t>
  </si>
  <si>
    <t>E*** DO***</t>
  </si>
  <si>
    <t>220***6078</t>
  </si>
  <si>
    <t>F*** ÜN***</t>
  </si>
  <si>
    <t>210***6054</t>
  </si>
  <si>
    <t>E*** E*** KA***</t>
  </si>
  <si>
    <t>210***6051</t>
  </si>
  <si>
    <t>M*** EL***</t>
  </si>
  <si>
    <t>220***0050</t>
  </si>
  <si>
    <t>K*** AS***</t>
  </si>
  <si>
    <t>210***2035</t>
  </si>
  <si>
    <t>A*** O*** VU***</t>
  </si>
  <si>
    <t>210***6062</t>
  </si>
  <si>
    <t>H*** AC***</t>
  </si>
  <si>
    <t>220***5257</t>
  </si>
  <si>
    <t>İ*** B***</t>
  </si>
  <si>
    <t>170***419</t>
  </si>
  <si>
    <t>G*** DE***</t>
  </si>
  <si>
    <t>210***1419</t>
  </si>
  <si>
    <t>N*** N*** ER***</t>
  </si>
  <si>
    <t>210***1470</t>
  </si>
  <si>
    <t>M*** K*** B*** Bİ***</t>
  </si>
  <si>
    <t>210***1423</t>
  </si>
  <si>
    <t>N*** A*** ZA***</t>
  </si>
  <si>
    <t>191***068</t>
  </si>
  <si>
    <t>A*** B*** UL***</t>
  </si>
  <si>
    <t>211***1854</t>
  </si>
  <si>
    <t>Ç*** KO***</t>
  </si>
  <si>
    <t>211***1846</t>
  </si>
  <si>
    <t>T*** Çİ***</t>
  </si>
  <si>
    <t>210***3004</t>
  </si>
  <si>
    <t>S*** D*** BE***</t>
  </si>
  <si>
    <t>210***7056</t>
  </si>
  <si>
    <t>E*** ÖZ***</t>
  </si>
  <si>
    <t>210***2017</t>
  </si>
  <si>
    <t>S*** KI***</t>
  </si>
  <si>
    <t>220***0034</t>
  </si>
  <si>
    <t>N*** D*** AB***</t>
  </si>
  <si>
    <t>210***7019</t>
  </si>
  <si>
    <t>M*** R*** HE***</t>
  </si>
  <si>
    <t>220***1007</t>
  </si>
  <si>
    <t>210***7039</t>
  </si>
  <si>
    <t>N*** VU***</t>
  </si>
  <si>
    <t>220***5051</t>
  </si>
  <si>
    <t>E*** C*** FE***</t>
  </si>
  <si>
    <t>200***1023</t>
  </si>
  <si>
    <t>Ö*** DU***</t>
  </si>
  <si>
    <t>211***1084</t>
  </si>
  <si>
    <t>R*** KO***</t>
  </si>
  <si>
    <t>211***1045</t>
  </si>
  <si>
    <t>E*** D*** DO***</t>
  </si>
  <si>
    <t>201***2004</t>
  </si>
  <si>
    <t>B*** AZ***</t>
  </si>
  <si>
    <t>201***2017</t>
  </si>
  <si>
    <t>N*** KA***</t>
  </si>
  <si>
    <t>201***1066</t>
  </si>
  <si>
    <t>O*** BA***</t>
  </si>
  <si>
    <t>211***2006</t>
  </si>
  <si>
    <t>M*** P*** BE***</t>
  </si>
  <si>
    <t>181***430</t>
  </si>
  <si>
    <t>F*** ZO***</t>
  </si>
  <si>
    <t>180***455</t>
  </si>
  <si>
    <t>Z*** KA***</t>
  </si>
  <si>
    <t>210***1424</t>
  </si>
  <si>
    <t>A*** BE***</t>
  </si>
  <si>
    <t>200***1092</t>
  </si>
  <si>
    <t>200***1082</t>
  </si>
  <si>
    <t>H*** HE***</t>
  </si>
  <si>
    <t>180***458</t>
  </si>
  <si>
    <t>B*** E*** GÜ***</t>
  </si>
  <si>
    <t>200***1011</t>
  </si>
  <si>
    <t>Ö*** ÖZ***</t>
  </si>
  <si>
    <t>210***1401</t>
  </si>
  <si>
    <t>E*** KO***</t>
  </si>
  <si>
    <t>210***1702</t>
  </si>
  <si>
    <t>E*** K*** KI***</t>
  </si>
  <si>
    <t>200***1084</t>
  </si>
  <si>
    <t>C*** KA***</t>
  </si>
  <si>
    <t>200***1030</t>
  </si>
  <si>
    <t>E*** GÜ***</t>
  </si>
  <si>
    <t>200***1022</t>
  </si>
  <si>
    <t>S*** AN***</t>
  </si>
  <si>
    <t>210***2002</t>
  </si>
  <si>
    <t>K*** DÜ***</t>
  </si>
  <si>
    <t>200***1072</t>
  </si>
  <si>
    <t>M*** B*** UY***</t>
  </si>
  <si>
    <t>201***065</t>
  </si>
  <si>
    <t>A*** İ*** DA***</t>
  </si>
  <si>
    <t>191***088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</si>
</sst>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theme="4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theme="4" tint="0.79998168889431442"/>
      </patternFill>
    </fill>
    <fill>
      <patternFill patternType="solid">
        <fgColor rgb="FFFF33CC"/>
        <bgColor indexed="64"/>
      </patternFill>
    </fill>
    <fill>
      <patternFill patternType="solid">
        <fgColor rgb="FFFF33CC"/>
        <bgColor theme="4" tint="0.79998168889431442"/>
      </patternFill>
    </fill>
    <fill>
      <patternFill patternType="solid">
        <fgColor rgb="FFB57BA4"/>
        <bgColor indexed="64"/>
      </patternFill>
    </fill>
    <fill>
      <patternFill patternType="solid">
        <fgColor rgb="FFB57BA4"/>
        <bgColor theme="4" tint="0.79998168889431442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left" vertical="center"/>
    </xf>
    <xf numFmtId="0" fontId="1" fillId="2" borderId="2" xfId="1" applyBorder="1" applyAlignment="1">
      <alignment horizontal="center" vertical="center"/>
    </xf>
    <xf numFmtId="0" fontId="0" fillId="3" borderId="0" xfId="0" applyFill="1"/>
    <xf numFmtId="0" fontId="0" fillId="5" borderId="0" xfId="0" applyFill="1"/>
    <xf numFmtId="0" fontId="0" fillId="7" borderId="0" xfId="0" applyFill="1"/>
    <xf numFmtId="0" fontId="0" fillId="9" borderId="0" xfId="0" applyFill="1"/>
    <xf numFmtId="0" fontId="0" fillId="11" borderId="0" xfId="0" applyFill="1"/>
    <xf numFmtId="0" fontId="0" fillId="13" borderId="0" xfId="0" applyFill="1"/>
    <xf numFmtId="0" fontId="0" fillId="15" borderId="0" xfId="0" applyFill="1"/>
    <xf numFmtId="0" fontId="0" fillId="17" borderId="0" xfId="0" applyFill="1"/>
    <xf numFmtId="0" fontId="1" fillId="2" borderId="3" xfId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/>
    <xf numFmtId="0" fontId="0" fillId="7" borderId="1" xfId="0" applyFill="1" applyBorder="1" applyAlignment="1">
      <alignment horizontal="left" vertical="center"/>
    </xf>
    <xf numFmtId="0" fontId="0" fillId="7" borderId="1" xfId="0" applyFill="1" applyBorder="1"/>
    <xf numFmtId="0" fontId="0" fillId="9" borderId="1" xfId="0" applyFill="1" applyBorder="1" applyAlignment="1">
      <alignment horizontal="left" vertical="center"/>
    </xf>
    <xf numFmtId="0" fontId="0" fillId="9" borderId="1" xfId="0" applyFill="1" applyBorder="1"/>
    <xf numFmtId="0" fontId="0" fillId="11" borderId="1" xfId="0" applyFill="1" applyBorder="1" applyAlignment="1">
      <alignment horizontal="left" vertical="center"/>
    </xf>
    <xf numFmtId="0" fontId="0" fillId="11" borderId="1" xfId="0" applyFill="1" applyBorder="1"/>
    <xf numFmtId="0" fontId="0" fillId="15" borderId="1" xfId="0" applyFill="1" applyBorder="1" applyAlignment="1">
      <alignment horizontal="left" vertical="center"/>
    </xf>
    <xf numFmtId="0" fontId="0" fillId="15" borderId="1" xfId="0" applyFill="1" applyBorder="1"/>
    <xf numFmtId="0" fontId="0" fillId="17" borderId="1" xfId="0" applyFill="1" applyBorder="1" applyAlignment="1">
      <alignment horizontal="left" vertical="center"/>
    </xf>
    <xf numFmtId="0" fontId="0" fillId="17" borderId="1" xfId="0" applyFill="1" applyBorder="1"/>
    <xf numFmtId="0" fontId="0" fillId="13" borderId="1" xfId="0" applyFill="1" applyBorder="1" applyAlignment="1">
      <alignment horizontal="left" vertical="center"/>
    </xf>
    <xf numFmtId="0" fontId="0" fillId="13" borderId="1" xfId="0" applyFill="1" applyBorder="1"/>
    <xf numFmtId="0" fontId="0" fillId="3" borderId="1" xfId="0" applyFill="1" applyBorder="1" applyAlignment="1">
      <alignment horizontal="left" vertical="center"/>
    </xf>
    <xf numFmtId="0" fontId="0" fillId="3" borderId="1" xfId="0" applyFill="1" applyBorder="1"/>
    <xf numFmtId="0" fontId="0" fillId="19" borderId="0" xfId="0" applyFill="1"/>
    <xf numFmtId="0" fontId="0" fillId="19" borderId="1" xfId="0" applyFill="1" applyBorder="1"/>
    <xf numFmtId="0" fontId="0" fillId="20" borderId="1" xfId="0" applyFill="1" applyBorder="1" applyAlignment="1">
      <alignment horizontal="left" vertical="center"/>
    </xf>
    <xf numFmtId="0" fontId="0" fillId="20" borderId="1" xfId="0" applyFill="1" applyBorder="1"/>
    <xf numFmtId="0" fontId="0" fillId="20" borderId="0" xfId="0" applyFill="1"/>
    <xf numFmtId="0" fontId="0" fillId="22" borderId="1" xfId="0" applyFill="1" applyBorder="1" applyAlignment="1">
      <alignment horizontal="left" vertical="center"/>
    </xf>
    <xf numFmtId="0" fontId="0" fillId="22" borderId="1" xfId="0" applyFill="1" applyBorder="1"/>
    <xf numFmtId="0" fontId="0" fillId="22" borderId="0" xfId="0" applyFill="1"/>
    <xf numFmtId="0" fontId="0" fillId="24" borderId="1" xfId="0" applyFill="1" applyBorder="1" applyAlignment="1">
      <alignment horizontal="left" vertical="center"/>
    </xf>
    <xf numFmtId="0" fontId="0" fillId="24" borderId="1" xfId="0" applyFill="1" applyBorder="1"/>
    <xf numFmtId="0" fontId="0" fillId="24" borderId="0" xfId="0" applyFill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/>
    </xf>
    <xf numFmtId="0" fontId="0" fillId="20" borderId="1" xfId="0" applyFill="1" applyBorder="1" applyAlignment="1">
      <alignment horizontal="center" vertical="center"/>
    </xf>
    <xf numFmtId="0" fontId="0" fillId="20" borderId="1" xfId="0" applyFill="1" applyBorder="1" applyAlignment="1">
      <alignment horizontal="center"/>
    </xf>
    <xf numFmtId="0" fontId="0" fillId="24" borderId="1" xfId="0" applyFill="1" applyBorder="1" applyAlignment="1">
      <alignment horizontal="center" vertical="center"/>
    </xf>
    <xf numFmtId="0" fontId="0" fillId="24" borderId="1" xfId="0" applyFill="1" applyBorder="1" applyAlignment="1">
      <alignment horizontal="center"/>
    </xf>
    <xf numFmtId="0" fontId="0" fillId="15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/>
    </xf>
    <xf numFmtId="0" fontId="0" fillId="17" borderId="1" xfId="0" applyFill="1" applyBorder="1" applyAlignment="1">
      <alignment horizontal="center" vertical="center"/>
    </xf>
    <xf numFmtId="0" fontId="0" fillId="17" borderId="1" xfId="0" applyFill="1" applyBorder="1" applyAlignment="1">
      <alignment horizontal="center"/>
    </xf>
    <xf numFmtId="0" fontId="0" fillId="22" borderId="1" xfId="0" applyFill="1" applyBorder="1" applyAlignment="1">
      <alignment horizontal="center" vertical="center"/>
    </xf>
    <xf numFmtId="0" fontId="0" fillId="22" borderId="1" xfId="0" applyFill="1" applyBorder="1" applyAlignment="1">
      <alignment horizontal="center"/>
    </xf>
    <xf numFmtId="0" fontId="0" fillId="13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6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21" borderId="1" xfId="0" applyFill="1" applyBorder="1" applyAlignment="1">
      <alignment horizontal="center"/>
    </xf>
    <xf numFmtId="0" fontId="0" fillId="25" borderId="1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23" borderId="1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6" borderId="1" xfId="0" applyFill="1" applyBorder="1" applyAlignment="1">
      <alignment horizontal="left" vertical="center"/>
    </xf>
    <xf numFmtId="0" fontId="0" fillId="26" borderId="1" xfId="0" applyFill="1" applyBorder="1" applyAlignment="1">
      <alignment horizontal="center" vertical="center"/>
    </xf>
    <xf numFmtId="0" fontId="0" fillId="26" borderId="1" xfId="0" applyFill="1" applyBorder="1" applyAlignment="1">
      <alignment horizontal="center"/>
    </xf>
    <xf numFmtId="0" fontId="0" fillId="27" borderId="1" xfId="0" applyFill="1" applyBorder="1" applyAlignment="1">
      <alignment horizontal="center"/>
    </xf>
    <xf numFmtId="0" fontId="0" fillId="26" borderId="1" xfId="0" applyFill="1" applyBorder="1"/>
    <xf numFmtId="0" fontId="0" fillId="26" borderId="0" xfId="0" applyFill="1"/>
    <xf numFmtId="0" fontId="0" fillId="28" borderId="1" xfId="0" applyFill="1" applyBorder="1" applyAlignment="1">
      <alignment horizontal="left" vertical="center"/>
    </xf>
    <xf numFmtId="0" fontId="0" fillId="28" borderId="1" xfId="0" applyFill="1" applyBorder="1" applyAlignment="1">
      <alignment horizontal="center" vertical="center"/>
    </xf>
    <xf numFmtId="0" fontId="0" fillId="28" borderId="1" xfId="0" applyFill="1" applyBorder="1" applyAlignment="1">
      <alignment horizontal="center"/>
    </xf>
    <xf numFmtId="0" fontId="0" fillId="29" borderId="1" xfId="0" applyFill="1" applyBorder="1" applyAlignment="1">
      <alignment horizontal="center"/>
    </xf>
    <xf numFmtId="0" fontId="0" fillId="28" borderId="1" xfId="0" applyFill="1" applyBorder="1"/>
    <xf numFmtId="0" fontId="0" fillId="28" borderId="0" xfId="0" applyFill="1"/>
    <xf numFmtId="0" fontId="0" fillId="30" borderId="1" xfId="0" applyFill="1" applyBorder="1" applyAlignment="1">
      <alignment horizontal="left" vertical="center"/>
    </xf>
    <xf numFmtId="0" fontId="0" fillId="30" borderId="1" xfId="0" applyFill="1" applyBorder="1" applyAlignment="1">
      <alignment horizontal="center" vertical="center"/>
    </xf>
    <xf numFmtId="0" fontId="0" fillId="30" borderId="1" xfId="0" applyFill="1" applyBorder="1" applyAlignment="1">
      <alignment horizontal="center"/>
    </xf>
    <xf numFmtId="0" fontId="0" fillId="31" borderId="1" xfId="0" applyFill="1" applyBorder="1" applyAlignment="1">
      <alignment horizontal="center"/>
    </xf>
    <xf numFmtId="0" fontId="0" fillId="30" borderId="1" xfId="0" applyFill="1" applyBorder="1"/>
    <xf numFmtId="0" fontId="0" fillId="30" borderId="0" xfId="0" applyFill="1"/>
    <xf numFmtId="0" fontId="0" fillId="32" borderId="1" xfId="0" applyFill="1" applyBorder="1" applyAlignment="1">
      <alignment horizontal="left" vertical="center"/>
    </xf>
    <xf numFmtId="0" fontId="0" fillId="32" borderId="1" xfId="0" applyFill="1" applyBorder="1" applyAlignment="1">
      <alignment horizontal="center" vertical="center"/>
    </xf>
    <xf numFmtId="0" fontId="0" fillId="32" borderId="1" xfId="0" applyFill="1" applyBorder="1" applyAlignment="1">
      <alignment horizontal="center"/>
    </xf>
    <xf numFmtId="0" fontId="0" fillId="33" borderId="1" xfId="0" applyFill="1" applyBorder="1" applyAlignment="1">
      <alignment horizontal="center"/>
    </xf>
    <xf numFmtId="0" fontId="0" fillId="32" borderId="1" xfId="0" applyFill="1" applyBorder="1"/>
    <xf numFmtId="0" fontId="0" fillId="32" borderId="0" xfId="0" applyFill="1"/>
  </cellXfs>
  <cellStyles count="2">
    <cellStyle name="Normal" xfId="0" builtinId="0"/>
    <cellStyle name="Vurgu1" xfId="1" builtinId="29"/>
  </cellStyles>
  <dxfs count="0"/>
  <tableStyles count="0" defaultTableStyle="TableStyleMedium2" defaultPivotStyle="PivotStyleLight16"/>
  <colors>
    <mruColors>
      <color rgb="FFFFCCFF"/>
      <color rgb="FFB57BA4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31"/>
  <sheetViews>
    <sheetView tabSelected="1" zoomScale="86" zoomScaleNormal="86" workbookViewId="0">
      <selection activeCell="A44" sqref="A44:XFD44"/>
    </sheetView>
  </sheetViews>
  <sheetFormatPr defaultRowHeight="15"/>
  <cols>
    <col min="1" max="1" width="34.140625" style="1" bestFit="1" customWidth="1"/>
    <col min="2" max="2" width="15.42578125" style="1" bestFit="1" customWidth="1"/>
    <col min="3" max="3" width="60.28515625" style="1" bestFit="1" customWidth="1"/>
    <col min="4" max="4" width="18.85546875" style="61" bestFit="1" customWidth="1"/>
    <col min="5" max="5" width="17.42578125" style="62" bestFit="1" customWidth="1"/>
    <col min="6" max="6" width="16" style="62" bestFit="1" customWidth="1"/>
    <col min="7" max="7" width="14.85546875" style="62" bestFit="1" customWidth="1"/>
    <col min="8" max="8" width="9.7109375" bestFit="1" customWidth="1"/>
    <col min="9" max="9" width="9.140625" bestFit="1" customWidth="1"/>
    <col min="10" max="10" width="15.5703125" bestFit="1" customWidth="1"/>
    <col min="11" max="11" width="12.42578125" bestFit="1" customWidth="1"/>
    <col min="12" max="12" width="21.28515625" bestFit="1" customWidth="1"/>
    <col min="14" max="14" width="15.85546875" customWidth="1"/>
    <col min="15" max="69" width="9.140625" style="28"/>
  </cols>
  <sheetData>
    <row r="1" spans="1:69">
      <c r="A1" s="11" t="s">
        <v>0</v>
      </c>
      <c r="B1" s="11" t="s">
        <v>3</v>
      </c>
      <c r="C1" s="11" t="s">
        <v>1</v>
      </c>
      <c r="D1" s="11" t="s">
        <v>2</v>
      </c>
      <c r="E1" s="2" t="s">
        <v>21</v>
      </c>
      <c r="F1" s="2" t="s">
        <v>22</v>
      </c>
      <c r="G1" s="2" t="s">
        <v>23</v>
      </c>
      <c r="H1" s="2" t="s">
        <v>24</v>
      </c>
      <c r="I1" s="2" t="s">
        <v>25</v>
      </c>
      <c r="J1" s="2" t="s">
        <v>26</v>
      </c>
      <c r="K1" s="2" t="s">
        <v>27</v>
      </c>
      <c r="L1" s="2" t="s">
        <v>28</v>
      </c>
      <c r="M1" s="2" t="s">
        <v>29</v>
      </c>
      <c r="N1" s="2" t="s">
        <v>30</v>
      </c>
    </row>
    <row r="2" spans="1:69" s="4" customFormat="1">
      <c r="A2" s="12" t="s">
        <v>134</v>
      </c>
      <c r="B2" s="12" t="s">
        <v>135</v>
      </c>
      <c r="C2" s="12" t="s">
        <v>11</v>
      </c>
      <c r="D2" s="39" t="s">
        <v>34</v>
      </c>
      <c r="E2" s="40">
        <f>88.33/2</f>
        <v>44.164999999999999</v>
      </c>
      <c r="F2" s="63">
        <v>95</v>
      </c>
      <c r="G2" s="40">
        <f>95/2</f>
        <v>47.5</v>
      </c>
      <c r="H2" s="13"/>
      <c r="I2" s="13"/>
      <c r="J2" s="13"/>
      <c r="K2" s="13"/>
      <c r="L2" s="13"/>
      <c r="M2" s="13">
        <f t="shared" ref="M2:M12" si="0">E2+G2</f>
        <v>91.664999999999992</v>
      </c>
      <c r="N2" s="13" t="s">
        <v>133</v>
      </c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</row>
    <row r="3" spans="1:69" s="4" customFormat="1">
      <c r="A3" s="12" t="s">
        <v>136</v>
      </c>
      <c r="B3" s="12" t="s">
        <v>137</v>
      </c>
      <c r="C3" s="12" t="s">
        <v>11</v>
      </c>
      <c r="D3" s="39" t="s">
        <v>35</v>
      </c>
      <c r="E3" s="40">
        <f>85.53/2</f>
        <v>42.765000000000001</v>
      </c>
      <c r="F3" s="63">
        <v>95</v>
      </c>
      <c r="G3" s="40">
        <f>95/2</f>
        <v>47.5</v>
      </c>
      <c r="H3" s="13"/>
      <c r="I3" s="13"/>
      <c r="J3" s="13"/>
      <c r="K3" s="13"/>
      <c r="L3" s="13"/>
      <c r="M3" s="13">
        <f t="shared" si="0"/>
        <v>90.265000000000001</v>
      </c>
      <c r="N3" s="13" t="s">
        <v>132</v>
      </c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</row>
    <row r="4" spans="1:69" s="4" customFormat="1">
      <c r="A4" s="12" t="s">
        <v>138</v>
      </c>
      <c r="B4" s="12" t="s">
        <v>139</v>
      </c>
      <c r="C4" s="12" t="s">
        <v>11</v>
      </c>
      <c r="D4" s="39" t="s">
        <v>31</v>
      </c>
      <c r="E4" s="40">
        <f>84.36/2</f>
        <v>42.18</v>
      </c>
      <c r="F4" s="63">
        <v>95</v>
      </c>
      <c r="G4" s="40">
        <f>95/2</f>
        <v>47.5</v>
      </c>
      <c r="H4" s="13"/>
      <c r="I4" s="13"/>
      <c r="J4" s="13"/>
      <c r="K4" s="13"/>
      <c r="L4" s="13"/>
      <c r="M4" s="13">
        <f t="shared" si="0"/>
        <v>89.68</v>
      </c>
      <c r="N4" s="13" t="s">
        <v>132</v>
      </c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</row>
    <row r="5" spans="1:69" s="4" customFormat="1">
      <c r="A5" s="12" t="s">
        <v>140</v>
      </c>
      <c r="B5" s="12" t="s">
        <v>141</v>
      </c>
      <c r="C5" s="12" t="s">
        <v>11</v>
      </c>
      <c r="D5" s="39" t="s">
        <v>36</v>
      </c>
      <c r="E5" s="40">
        <f>86.7/2</f>
        <v>43.35</v>
      </c>
      <c r="F5" s="63">
        <v>92.5</v>
      </c>
      <c r="G5" s="40">
        <f>92.5/2</f>
        <v>46.25</v>
      </c>
      <c r="H5" s="13"/>
      <c r="I5" s="13"/>
      <c r="J5" s="13"/>
      <c r="K5" s="13"/>
      <c r="L5" s="13"/>
      <c r="M5" s="13">
        <f t="shared" si="0"/>
        <v>89.6</v>
      </c>
      <c r="N5" s="13" t="s">
        <v>132</v>
      </c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</row>
    <row r="6" spans="1:69" s="4" customFormat="1">
      <c r="A6" s="12" t="s">
        <v>142</v>
      </c>
      <c r="B6" s="12" t="s">
        <v>143</v>
      </c>
      <c r="C6" s="12" t="s">
        <v>11</v>
      </c>
      <c r="D6" s="39" t="s">
        <v>32</v>
      </c>
      <c r="E6" s="40">
        <f>82.26/2</f>
        <v>41.13</v>
      </c>
      <c r="F6" s="63">
        <v>82.5</v>
      </c>
      <c r="G6" s="40">
        <f>82.5/2</f>
        <v>41.25</v>
      </c>
      <c r="H6" s="13"/>
      <c r="I6" s="13"/>
      <c r="J6" s="13"/>
      <c r="K6" s="13"/>
      <c r="L6" s="13"/>
      <c r="M6" s="13">
        <f t="shared" si="0"/>
        <v>82.38</v>
      </c>
      <c r="N6" s="13" t="s">
        <v>132</v>
      </c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</row>
    <row r="7" spans="1:69" s="4" customFormat="1">
      <c r="A7" s="12" t="s">
        <v>144</v>
      </c>
      <c r="B7" s="12" t="s">
        <v>145</v>
      </c>
      <c r="C7" s="12" t="s">
        <v>11</v>
      </c>
      <c r="D7" s="39" t="s">
        <v>33</v>
      </c>
      <c r="E7" s="40">
        <f>84.36/2</f>
        <v>42.18</v>
      </c>
      <c r="F7" s="63">
        <v>77.5</v>
      </c>
      <c r="G7" s="40">
        <f>77.5/2</f>
        <v>38.75</v>
      </c>
      <c r="H7" s="13"/>
      <c r="I7" s="13"/>
      <c r="J7" s="13"/>
      <c r="K7" s="13"/>
      <c r="L7" s="13"/>
      <c r="M7" s="13">
        <f t="shared" si="0"/>
        <v>80.930000000000007</v>
      </c>
      <c r="N7" s="13" t="s">
        <v>132</v>
      </c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</row>
    <row r="8" spans="1:69" s="5" customFormat="1">
      <c r="A8" s="14" t="s">
        <v>146</v>
      </c>
      <c r="B8" s="14" t="s">
        <v>147</v>
      </c>
      <c r="C8" s="14" t="s">
        <v>20</v>
      </c>
      <c r="D8" s="41" t="s">
        <v>32</v>
      </c>
      <c r="E8" s="42">
        <f>82.26/2</f>
        <v>41.13</v>
      </c>
      <c r="F8" s="64">
        <v>77.5</v>
      </c>
      <c r="G8" s="42">
        <f>77.5/2</f>
        <v>38.75</v>
      </c>
      <c r="H8" s="15"/>
      <c r="I8" s="15"/>
      <c r="J8" s="15"/>
      <c r="K8" s="15"/>
      <c r="L8" s="15"/>
      <c r="M8" s="15">
        <f t="shared" si="0"/>
        <v>79.88</v>
      </c>
      <c r="N8" s="15" t="s">
        <v>132</v>
      </c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</row>
    <row r="9" spans="1:69" s="5" customFormat="1">
      <c r="A9" s="14" t="s">
        <v>148</v>
      </c>
      <c r="B9" s="14" t="s">
        <v>149</v>
      </c>
      <c r="C9" s="14" t="s">
        <v>20</v>
      </c>
      <c r="D9" s="41" t="s">
        <v>37</v>
      </c>
      <c r="E9" s="42">
        <f>74.8/2</f>
        <v>37.4</v>
      </c>
      <c r="F9" s="64">
        <v>77.5</v>
      </c>
      <c r="G9" s="42">
        <f>77.5/2</f>
        <v>38.75</v>
      </c>
      <c r="H9" s="15"/>
      <c r="I9" s="15"/>
      <c r="J9" s="15"/>
      <c r="K9" s="15"/>
      <c r="L9" s="15"/>
      <c r="M9" s="15">
        <f t="shared" si="0"/>
        <v>76.150000000000006</v>
      </c>
      <c r="N9" s="15" t="s">
        <v>132</v>
      </c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</row>
    <row r="10" spans="1:69" s="6" customFormat="1">
      <c r="A10" s="16" t="s">
        <v>150</v>
      </c>
      <c r="B10" s="16" t="s">
        <v>151</v>
      </c>
      <c r="C10" s="16" t="s">
        <v>13</v>
      </c>
      <c r="D10" s="43" t="s">
        <v>41</v>
      </c>
      <c r="E10" s="44">
        <f>92.3/2</f>
        <v>46.15</v>
      </c>
      <c r="F10" s="65">
        <v>82.5</v>
      </c>
      <c r="G10" s="44">
        <f>82.5/2</f>
        <v>41.25</v>
      </c>
      <c r="H10" s="17"/>
      <c r="I10" s="17"/>
      <c r="J10" s="17"/>
      <c r="K10" s="17"/>
      <c r="L10" s="17"/>
      <c r="M10" s="17">
        <f t="shared" si="0"/>
        <v>87.4</v>
      </c>
      <c r="N10" s="17" t="s">
        <v>132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</row>
    <row r="11" spans="1:69" s="6" customFormat="1">
      <c r="A11" s="16" t="s">
        <v>152</v>
      </c>
      <c r="B11" s="16" t="s">
        <v>153</v>
      </c>
      <c r="C11" s="16" t="s">
        <v>13</v>
      </c>
      <c r="D11" s="43" t="s">
        <v>44</v>
      </c>
      <c r="E11" s="44">
        <f>82.96/2</f>
        <v>41.48</v>
      </c>
      <c r="F11" s="65">
        <v>92.5</v>
      </c>
      <c r="G11" s="44">
        <f>92.5/2</f>
        <v>46.25</v>
      </c>
      <c r="H11" s="17"/>
      <c r="I11" s="17"/>
      <c r="J11" s="17"/>
      <c r="K11" s="17"/>
      <c r="L11" s="17"/>
      <c r="M11" s="17">
        <f t="shared" si="0"/>
        <v>87.72999999999999</v>
      </c>
      <c r="N11" s="17" t="s">
        <v>132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</row>
    <row r="12" spans="1:69" s="6" customFormat="1">
      <c r="A12" s="16" t="s">
        <v>154</v>
      </c>
      <c r="B12" s="16" t="s">
        <v>155</v>
      </c>
      <c r="C12" s="16" t="s">
        <v>13</v>
      </c>
      <c r="D12" s="43" t="s">
        <v>43</v>
      </c>
      <c r="E12" s="44">
        <f>80.4/2</f>
        <v>40.200000000000003</v>
      </c>
      <c r="F12" s="65">
        <v>85</v>
      </c>
      <c r="G12" s="44">
        <f>85/2</f>
        <v>42.5</v>
      </c>
      <c r="H12" s="17"/>
      <c r="I12" s="17"/>
      <c r="J12" s="17"/>
      <c r="K12" s="17"/>
      <c r="L12" s="17"/>
      <c r="M12" s="17">
        <f t="shared" si="0"/>
        <v>82.7</v>
      </c>
      <c r="N12" s="17" t="s">
        <v>132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</row>
    <row r="13" spans="1:69" s="6" customFormat="1">
      <c r="A13" s="16" t="s">
        <v>156</v>
      </c>
      <c r="B13" s="16" t="s">
        <v>157</v>
      </c>
      <c r="C13" s="16" t="s">
        <v>13</v>
      </c>
      <c r="D13" s="43" t="s">
        <v>37</v>
      </c>
      <c r="E13" s="44">
        <f>74.8/2</f>
        <v>37.4</v>
      </c>
      <c r="F13" s="65">
        <v>87.5</v>
      </c>
      <c r="G13" s="44">
        <f>87.5/2</f>
        <v>43.75</v>
      </c>
      <c r="H13" s="17"/>
      <c r="I13" s="17"/>
      <c r="J13" s="17"/>
      <c r="K13" s="17"/>
      <c r="L13" s="17"/>
      <c r="M13" s="17">
        <f t="shared" ref="M13" si="1">E13+G13</f>
        <v>81.150000000000006</v>
      </c>
      <c r="N13" s="17" t="s">
        <v>132</v>
      </c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</row>
    <row r="14" spans="1:69" s="6" customFormat="1">
      <c r="A14" s="16" t="s">
        <v>158</v>
      </c>
      <c r="B14" s="16" t="s">
        <v>159</v>
      </c>
      <c r="C14" s="16" t="s">
        <v>13</v>
      </c>
      <c r="D14" s="43" t="s">
        <v>42</v>
      </c>
      <c r="E14" s="44">
        <f>72.46/2</f>
        <v>36.229999999999997</v>
      </c>
      <c r="F14" s="65">
        <v>87.5</v>
      </c>
      <c r="G14" s="44">
        <f>87.5/2</f>
        <v>43.75</v>
      </c>
      <c r="H14" s="17"/>
      <c r="I14" s="17"/>
      <c r="J14" s="17"/>
      <c r="K14" s="17"/>
      <c r="L14" s="17"/>
      <c r="M14" s="17">
        <f t="shared" ref="M14:M15" si="2">E14+G14</f>
        <v>79.97999999999999</v>
      </c>
      <c r="N14" s="17" t="s">
        <v>132</v>
      </c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</row>
    <row r="15" spans="1:69" s="7" customFormat="1">
      <c r="A15" s="18" t="s">
        <v>160</v>
      </c>
      <c r="B15" s="18" t="s">
        <v>161</v>
      </c>
      <c r="C15" s="18" t="s">
        <v>16</v>
      </c>
      <c r="D15" s="45" t="s">
        <v>45</v>
      </c>
      <c r="E15" s="46">
        <f>79.46/2</f>
        <v>39.729999999999997</v>
      </c>
      <c r="F15" s="66">
        <v>85</v>
      </c>
      <c r="G15" s="46">
        <f>85/2</f>
        <v>42.5</v>
      </c>
      <c r="H15" s="19"/>
      <c r="I15" s="19"/>
      <c r="J15" s="19"/>
      <c r="K15" s="19"/>
      <c r="L15" s="19"/>
      <c r="M15" s="19">
        <f t="shared" si="2"/>
        <v>82.22999999999999</v>
      </c>
      <c r="N15" s="19" t="s">
        <v>132</v>
      </c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</row>
    <row r="16" spans="1:69" s="32" customFormat="1">
      <c r="A16" s="30" t="s">
        <v>166</v>
      </c>
      <c r="B16" s="30" t="s">
        <v>167</v>
      </c>
      <c r="C16" s="30" t="s">
        <v>18</v>
      </c>
      <c r="D16" s="47" t="s">
        <v>47</v>
      </c>
      <c r="E16" s="48">
        <f>96.73/2</f>
        <v>48.365000000000002</v>
      </c>
      <c r="F16" s="67">
        <v>92.5</v>
      </c>
      <c r="G16" s="48">
        <v>46.25</v>
      </c>
      <c r="H16" s="31"/>
      <c r="I16" s="31"/>
      <c r="J16" s="31"/>
      <c r="K16" s="31"/>
      <c r="L16" s="31"/>
      <c r="M16" s="31">
        <f t="shared" ref="M16" si="3">E16+G16</f>
        <v>94.615000000000009</v>
      </c>
      <c r="N16" s="31" t="s">
        <v>133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</row>
    <row r="17" spans="1:69" s="32" customFormat="1" ht="14.25" customHeight="1">
      <c r="A17" s="30" t="s">
        <v>162</v>
      </c>
      <c r="B17" s="30" t="s">
        <v>163</v>
      </c>
      <c r="C17" s="30" t="s">
        <v>18</v>
      </c>
      <c r="D17" s="47" t="s">
        <v>48</v>
      </c>
      <c r="E17" s="48">
        <f>99.06/2</f>
        <v>49.53</v>
      </c>
      <c r="F17" s="48">
        <v>85</v>
      </c>
      <c r="G17" s="48">
        <f>85/2</f>
        <v>42.5</v>
      </c>
      <c r="H17" s="31"/>
      <c r="I17" s="31"/>
      <c r="J17" s="31"/>
      <c r="K17" s="31"/>
      <c r="L17" s="31"/>
      <c r="M17" s="31">
        <f>E17+G17</f>
        <v>92.03</v>
      </c>
      <c r="N17" s="31" t="s">
        <v>132</v>
      </c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</row>
    <row r="18" spans="1:69" s="32" customFormat="1">
      <c r="A18" s="30" t="s">
        <v>164</v>
      </c>
      <c r="B18" s="30" t="s">
        <v>165</v>
      </c>
      <c r="C18" s="30" t="s">
        <v>18</v>
      </c>
      <c r="D18" s="47" t="s">
        <v>131</v>
      </c>
      <c r="E18" s="48">
        <f>99.53/2</f>
        <v>49.765000000000001</v>
      </c>
      <c r="F18" s="67">
        <v>75</v>
      </c>
      <c r="G18" s="48">
        <f>75/2</f>
        <v>37.5</v>
      </c>
      <c r="H18" s="31"/>
      <c r="I18" s="31"/>
      <c r="J18" s="31"/>
      <c r="K18" s="31"/>
      <c r="L18" s="31"/>
      <c r="M18" s="31">
        <f>E18+G18</f>
        <v>87.265000000000001</v>
      </c>
      <c r="N18" s="31" t="s">
        <v>132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</row>
    <row r="19" spans="1:69" s="38" customFormat="1">
      <c r="A19" s="36" t="s">
        <v>168</v>
      </c>
      <c r="B19" s="36" t="s">
        <v>169</v>
      </c>
      <c r="C19" s="36" t="s">
        <v>12</v>
      </c>
      <c r="D19" s="49" t="s">
        <v>64</v>
      </c>
      <c r="E19" s="50">
        <f>78.53/2</f>
        <v>39.265000000000001</v>
      </c>
      <c r="F19" s="68">
        <v>87.5</v>
      </c>
      <c r="G19" s="50">
        <f>87.5/2</f>
        <v>43.75</v>
      </c>
      <c r="H19" s="37"/>
      <c r="I19" s="37"/>
      <c r="J19" s="37"/>
      <c r="K19" s="37">
        <v>10</v>
      </c>
      <c r="L19" s="37"/>
      <c r="M19" s="37">
        <f>E19+G19+K19</f>
        <v>93.015000000000001</v>
      </c>
      <c r="N19" s="37" t="s">
        <v>133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</row>
    <row r="20" spans="1:69" s="38" customFormat="1">
      <c r="A20" s="36" t="s">
        <v>170</v>
      </c>
      <c r="B20" s="36" t="s">
        <v>171</v>
      </c>
      <c r="C20" s="36" t="s">
        <v>12</v>
      </c>
      <c r="D20" s="49" t="s">
        <v>49</v>
      </c>
      <c r="E20" s="50">
        <f>65.23/2</f>
        <v>32.615000000000002</v>
      </c>
      <c r="F20" s="68">
        <v>97.5</v>
      </c>
      <c r="G20" s="50">
        <f>97.5/2</f>
        <v>48.75</v>
      </c>
      <c r="H20" s="37"/>
      <c r="I20" s="37"/>
      <c r="J20" s="37"/>
      <c r="K20" s="37">
        <v>10</v>
      </c>
      <c r="L20" s="37"/>
      <c r="M20" s="37">
        <f>E20+G20+K20</f>
        <v>91.365000000000009</v>
      </c>
      <c r="N20" s="37" t="s">
        <v>132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</row>
    <row r="21" spans="1:69" s="38" customFormat="1">
      <c r="A21" s="36" t="s">
        <v>172</v>
      </c>
      <c r="B21" s="36" t="s">
        <v>173</v>
      </c>
      <c r="C21" s="36" t="s">
        <v>12</v>
      </c>
      <c r="D21" s="49" t="s">
        <v>57</v>
      </c>
      <c r="E21" s="50">
        <f>78.06/2</f>
        <v>39.03</v>
      </c>
      <c r="F21" s="68">
        <v>100</v>
      </c>
      <c r="G21" s="50">
        <f>100/2</f>
        <v>50</v>
      </c>
      <c r="H21" s="37"/>
      <c r="I21" s="37"/>
      <c r="J21" s="37"/>
      <c r="K21" s="37"/>
      <c r="L21" s="37"/>
      <c r="M21" s="37">
        <f t="shared" ref="M21:M34" si="4">E21+G21</f>
        <v>89.03</v>
      </c>
      <c r="N21" s="37" t="s">
        <v>132</v>
      </c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</row>
    <row r="22" spans="1:69" s="38" customFormat="1">
      <c r="A22" s="36" t="s">
        <v>174</v>
      </c>
      <c r="B22" s="36" t="s">
        <v>175</v>
      </c>
      <c r="C22" s="36" t="s">
        <v>12</v>
      </c>
      <c r="D22" s="49" t="s">
        <v>60</v>
      </c>
      <c r="E22" s="50">
        <f>86.46/2</f>
        <v>43.23</v>
      </c>
      <c r="F22" s="68">
        <v>90</v>
      </c>
      <c r="G22" s="50">
        <f>90/2</f>
        <v>45</v>
      </c>
      <c r="H22" s="37"/>
      <c r="I22" s="37"/>
      <c r="J22" s="37"/>
      <c r="K22" s="37"/>
      <c r="L22" s="37"/>
      <c r="M22" s="37">
        <f t="shared" si="4"/>
        <v>88.22999999999999</v>
      </c>
      <c r="N22" s="37" t="s">
        <v>132</v>
      </c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</row>
    <row r="23" spans="1:69" s="38" customFormat="1">
      <c r="A23" s="36" t="s">
        <v>176</v>
      </c>
      <c r="B23" s="36" t="s">
        <v>177</v>
      </c>
      <c r="C23" s="36" t="s">
        <v>12</v>
      </c>
      <c r="D23" s="49" t="s">
        <v>62</v>
      </c>
      <c r="E23" s="50">
        <f>87.86/2</f>
        <v>43.93</v>
      </c>
      <c r="F23" s="68">
        <v>85</v>
      </c>
      <c r="G23" s="50">
        <f>85/2</f>
        <v>42.5</v>
      </c>
      <c r="H23" s="37"/>
      <c r="I23" s="37"/>
      <c r="J23" s="37"/>
      <c r="K23" s="37"/>
      <c r="L23" s="37"/>
      <c r="M23" s="37">
        <f t="shared" si="4"/>
        <v>86.43</v>
      </c>
      <c r="N23" s="37" t="s">
        <v>132</v>
      </c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</row>
    <row r="24" spans="1:69" s="38" customFormat="1">
      <c r="A24" s="36" t="s">
        <v>178</v>
      </c>
      <c r="B24" s="36" t="s">
        <v>179</v>
      </c>
      <c r="C24" s="36" t="s">
        <v>12</v>
      </c>
      <c r="D24" s="49" t="s">
        <v>61</v>
      </c>
      <c r="E24" s="50">
        <f>87.63/2</f>
        <v>43.814999999999998</v>
      </c>
      <c r="F24" s="68">
        <v>82.5</v>
      </c>
      <c r="G24" s="50">
        <f>82.5/2</f>
        <v>41.25</v>
      </c>
      <c r="H24" s="37"/>
      <c r="I24" s="37"/>
      <c r="J24" s="37"/>
      <c r="K24" s="37"/>
      <c r="L24" s="37"/>
      <c r="M24" s="37">
        <f t="shared" si="4"/>
        <v>85.064999999999998</v>
      </c>
      <c r="N24" s="37" t="s">
        <v>132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</row>
    <row r="25" spans="1:69" s="38" customFormat="1">
      <c r="A25" s="36" t="s">
        <v>180</v>
      </c>
      <c r="B25" s="36" t="s">
        <v>181</v>
      </c>
      <c r="C25" s="36" t="s">
        <v>12</v>
      </c>
      <c r="D25" s="49" t="s">
        <v>56</v>
      </c>
      <c r="E25" s="50">
        <f>81.8/2</f>
        <v>40.9</v>
      </c>
      <c r="F25" s="68">
        <v>87.5</v>
      </c>
      <c r="G25" s="50">
        <f>87.5/2</f>
        <v>43.75</v>
      </c>
      <c r="H25" s="37"/>
      <c r="I25" s="37"/>
      <c r="J25" s="37"/>
      <c r="K25" s="37"/>
      <c r="L25" s="37"/>
      <c r="M25" s="37">
        <f t="shared" si="4"/>
        <v>84.65</v>
      </c>
      <c r="N25" s="37" t="s">
        <v>132</v>
      </c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</row>
    <row r="26" spans="1:69" s="38" customFormat="1">
      <c r="A26" s="36" t="s">
        <v>182</v>
      </c>
      <c r="B26" s="36" t="s">
        <v>183</v>
      </c>
      <c r="C26" s="36" t="s">
        <v>12</v>
      </c>
      <c r="D26" s="49" t="s">
        <v>54</v>
      </c>
      <c r="E26" s="50">
        <f>81.1/2</f>
        <v>40.549999999999997</v>
      </c>
      <c r="F26" s="68">
        <v>87.5</v>
      </c>
      <c r="G26" s="50">
        <f>87.5/2</f>
        <v>43.75</v>
      </c>
      <c r="H26" s="37"/>
      <c r="I26" s="37"/>
      <c r="J26" s="37"/>
      <c r="K26" s="37"/>
      <c r="L26" s="37"/>
      <c r="M26" s="37">
        <f t="shared" si="4"/>
        <v>84.3</v>
      </c>
      <c r="N26" s="37" t="s">
        <v>132</v>
      </c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</row>
    <row r="27" spans="1:69" s="38" customFormat="1">
      <c r="A27" s="36" t="s">
        <v>182</v>
      </c>
      <c r="B27" s="36" t="s">
        <v>184</v>
      </c>
      <c r="C27" s="36" t="s">
        <v>12</v>
      </c>
      <c r="D27" s="49" t="s">
        <v>53</v>
      </c>
      <c r="E27" s="50">
        <f>82.03/2</f>
        <v>41.015000000000001</v>
      </c>
      <c r="F27" s="50">
        <v>85</v>
      </c>
      <c r="G27" s="50">
        <f>85/2</f>
        <v>42.5</v>
      </c>
      <c r="H27" s="37"/>
      <c r="I27" s="37"/>
      <c r="J27" s="37"/>
      <c r="K27" s="37"/>
      <c r="L27" s="37"/>
      <c r="M27" s="37">
        <f t="shared" si="4"/>
        <v>83.515000000000001</v>
      </c>
      <c r="N27" s="37" t="s">
        <v>132</v>
      </c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</row>
    <row r="28" spans="1:69" s="38" customFormat="1">
      <c r="A28" s="36" t="s">
        <v>185</v>
      </c>
      <c r="B28" s="36" t="s">
        <v>186</v>
      </c>
      <c r="C28" s="36" t="s">
        <v>12</v>
      </c>
      <c r="D28" s="49" t="s">
        <v>58</v>
      </c>
      <c r="E28" s="50">
        <f>75.96/2</f>
        <v>37.979999999999997</v>
      </c>
      <c r="F28" s="68">
        <v>90</v>
      </c>
      <c r="G28" s="50">
        <f>90/2</f>
        <v>45</v>
      </c>
      <c r="H28" s="37"/>
      <c r="I28" s="37"/>
      <c r="J28" s="37"/>
      <c r="K28" s="37"/>
      <c r="L28" s="37"/>
      <c r="M28" s="37">
        <f t="shared" si="4"/>
        <v>82.97999999999999</v>
      </c>
      <c r="N28" s="37" t="s">
        <v>132</v>
      </c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</row>
    <row r="29" spans="1:69" s="38" customFormat="1">
      <c r="A29" s="36" t="s">
        <v>187</v>
      </c>
      <c r="B29" s="36" t="s">
        <v>188</v>
      </c>
      <c r="C29" s="36" t="s">
        <v>12</v>
      </c>
      <c r="D29" s="49" t="s">
        <v>63</v>
      </c>
      <c r="E29" s="50">
        <f>86/2</f>
        <v>43</v>
      </c>
      <c r="F29" s="68">
        <v>77.5</v>
      </c>
      <c r="G29" s="50">
        <f>77.5/2</f>
        <v>38.75</v>
      </c>
      <c r="H29" s="37"/>
      <c r="I29" s="37"/>
      <c r="J29" s="37"/>
      <c r="K29" s="37"/>
      <c r="L29" s="37"/>
      <c r="M29" s="37">
        <f t="shared" si="4"/>
        <v>81.75</v>
      </c>
      <c r="N29" s="37" t="s">
        <v>132</v>
      </c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</row>
    <row r="30" spans="1:69" s="38" customFormat="1">
      <c r="A30" s="36" t="s">
        <v>185</v>
      </c>
      <c r="B30" s="36" t="s">
        <v>189</v>
      </c>
      <c r="C30" s="36" t="s">
        <v>12</v>
      </c>
      <c r="D30" s="49" t="s">
        <v>59</v>
      </c>
      <c r="E30" s="50">
        <f>80.16/2</f>
        <v>40.08</v>
      </c>
      <c r="F30" s="68">
        <v>80</v>
      </c>
      <c r="G30" s="50">
        <f>80/2</f>
        <v>40</v>
      </c>
      <c r="H30" s="37"/>
      <c r="I30" s="37"/>
      <c r="J30" s="37"/>
      <c r="K30" s="37"/>
      <c r="L30" s="37"/>
      <c r="M30" s="37">
        <f t="shared" si="4"/>
        <v>80.08</v>
      </c>
      <c r="N30" s="37" t="s">
        <v>132</v>
      </c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</row>
    <row r="31" spans="1:69" s="38" customFormat="1">
      <c r="A31" s="36" t="s">
        <v>190</v>
      </c>
      <c r="B31" s="36" t="s">
        <v>191</v>
      </c>
      <c r="C31" s="36" t="s">
        <v>12</v>
      </c>
      <c r="D31" s="49" t="s">
        <v>45</v>
      </c>
      <c r="E31" s="50">
        <f>79.46/2</f>
        <v>39.729999999999997</v>
      </c>
      <c r="F31" s="68">
        <v>80</v>
      </c>
      <c r="G31" s="50">
        <f>80/2</f>
        <v>40</v>
      </c>
      <c r="H31" s="37"/>
      <c r="I31" s="37"/>
      <c r="J31" s="37"/>
      <c r="K31" s="37"/>
      <c r="L31" s="37"/>
      <c r="M31" s="37">
        <f t="shared" si="4"/>
        <v>79.72999999999999</v>
      </c>
      <c r="N31" s="37" t="s">
        <v>132</v>
      </c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</row>
    <row r="32" spans="1:69" s="38" customFormat="1">
      <c r="A32" s="36" t="s">
        <v>192</v>
      </c>
      <c r="B32" s="36" t="s">
        <v>193</v>
      </c>
      <c r="C32" s="36" t="s">
        <v>12</v>
      </c>
      <c r="D32" s="49" t="s">
        <v>51</v>
      </c>
      <c r="E32" s="50">
        <f>73.63/2</f>
        <v>36.814999999999998</v>
      </c>
      <c r="F32" s="68">
        <v>82.5</v>
      </c>
      <c r="G32" s="50">
        <f>82.5/2</f>
        <v>41.25</v>
      </c>
      <c r="H32" s="37"/>
      <c r="I32" s="37"/>
      <c r="J32" s="37"/>
      <c r="K32" s="37"/>
      <c r="L32" s="37"/>
      <c r="M32" s="37">
        <f t="shared" si="4"/>
        <v>78.064999999999998</v>
      </c>
      <c r="N32" s="37" t="s">
        <v>132</v>
      </c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</row>
    <row r="33" spans="1:69" s="38" customFormat="1">
      <c r="A33" s="36" t="s">
        <v>194</v>
      </c>
      <c r="B33" s="36" t="s">
        <v>195</v>
      </c>
      <c r="C33" s="36" t="s">
        <v>12</v>
      </c>
      <c r="D33" s="49" t="s">
        <v>56</v>
      </c>
      <c r="E33" s="50">
        <f>81.8/2</f>
        <v>40.9</v>
      </c>
      <c r="F33" s="68">
        <v>70</v>
      </c>
      <c r="G33" s="50">
        <f>70/2</f>
        <v>35</v>
      </c>
      <c r="H33" s="37"/>
      <c r="I33" s="37"/>
      <c r="J33" s="37"/>
      <c r="K33" s="37"/>
      <c r="L33" s="37"/>
      <c r="M33" s="37">
        <f t="shared" si="4"/>
        <v>75.900000000000006</v>
      </c>
      <c r="N33" s="37" t="s">
        <v>132</v>
      </c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</row>
    <row r="34" spans="1:69" s="38" customFormat="1">
      <c r="A34" s="36" t="s">
        <v>196</v>
      </c>
      <c r="B34" s="36" t="s">
        <v>197</v>
      </c>
      <c r="C34" s="36" t="s">
        <v>12</v>
      </c>
      <c r="D34" s="49" t="s">
        <v>55</v>
      </c>
      <c r="E34" s="50">
        <f>79.7/2</f>
        <v>39.85</v>
      </c>
      <c r="F34" s="68">
        <v>70</v>
      </c>
      <c r="G34" s="50">
        <f>70/2</f>
        <v>35</v>
      </c>
      <c r="H34" s="37"/>
      <c r="I34" s="37"/>
      <c r="J34" s="37"/>
      <c r="K34" s="37"/>
      <c r="L34" s="37"/>
      <c r="M34" s="37">
        <f t="shared" si="4"/>
        <v>74.849999999999994</v>
      </c>
      <c r="N34" s="37" t="s">
        <v>132</v>
      </c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</row>
    <row r="35" spans="1:69" s="38" customFormat="1">
      <c r="A35" s="36" t="s">
        <v>198</v>
      </c>
      <c r="B35" s="36" t="s">
        <v>199</v>
      </c>
      <c r="C35" s="36" t="s">
        <v>12</v>
      </c>
      <c r="D35" s="49" t="s">
        <v>50</v>
      </c>
      <c r="E35" s="50">
        <f>58.46/2</f>
        <v>29.23</v>
      </c>
      <c r="F35" s="68">
        <v>80</v>
      </c>
      <c r="G35" s="50">
        <f>80/2</f>
        <v>40</v>
      </c>
      <c r="H35" s="37"/>
      <c r="I35" s="37"/>
      <c r="J35" s="37"/>
      <c r="K35" s="37"/>
      <c r="L35" s="37"/>
      <c r="M35" s="37">
        <f t="shared" ref="M35" si="5">E35+G35</f>
        <v>69.23</v>
      </c>
      <c r="N35" s="37" t="s">
        <v>132</v>
      </c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</row>
    <row r="36" spans="1:69" s="97" customFormat="1">
      <c r="A36" s="92" t="s">
        <v>328</v>
      </c>
      <c r="B36" s="92" t="s">
        <v>329</v>
      </c>
      <c r="C36" s="92" t="s">
        <v>6</v>
      </c>
      <c r="D36" s="93" t="s">
        <v>66</v>
      </c>
      <c r="E36" s="94">
        <f>70.83/2</f>
        <v>35.414999999999999</v>
      </c>
      <c r="F36" s="95">
        <v>95</v>
      </c>
      <c r="G36" s="94">
        <f>95/2</f>
        <v>47.5</v>
      </c>
      <c r="H36" s="96"/>
      <c r="I36" s="96"/>
      <c r="J36" s="96"/>
      <c r="K36" s="96"/>
      <c r="L36" s="96"/>
      <c r="M36" s="96">
        <f t="shared" ref="M36:M41" si="6">E36+G36</f>
        <v>82.914999999999992</v>
      </c>
      <c r="N36" s="96" t="s">
        <v>132</v>
      </c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</row>
    <row r="37" spans="1:69" s="97" customFormat="1">
      <c r="A37" s="92" t="s">
        <v>330</v>
      </c>
      <c r="B37" s="92" t="s">
        <v>331</v>
      </c>
      <c r="C37" s="92" t="s">
        <v>6</v>
      </c>
      <c r="D37" s="93" t="s">
        <v>70</v>
      </c>
      <c r="E37" s="94">
        <f>85.3/2</f>
        <v>42.65</v>
      </c>
      <c r="F37" s="95">
        <v>77.5</v>
      </c>
      <c r="G37" s="94">
        <f>77.5/2</f>
        <v>38.75</v>
      </c>
      <c r="H37" s="96"/>
      <c r="I37" s="96"/>
      <c r="J37" s="96"/>
      <c r="K37" s="96"/>
      <c r="L37" s="96"/>
      <c r="M37" s="96">
        <f t="shared" si="6"/>
        <v>81.400000000000006</v>
      </c>
      <c r="N37" s="96" t="s">
        <v>132</v>
      </c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</row>
    <row r="38" spans="1:69" s="97" customFormat="1">
      <c r="A38" s="92" t="s">
        <v>332</v>
      </c>
      <c r="B38" s="92" t="s">
        <v>333</v>
      </c>
      <c r="C38" s="92" t="s">
        <v>6</v>
      </c>
      <c r="D38" s="93" t="s">
        <v>67</v>
      </c>
      <c r="E38" s="94">
        <f>60.56/2</f>
        <v>30.28</v>
      </c>
      <c r="F38" s="95">
        <v>97.5</v>
      </c>
      <c r="G38" s="94">
        <f>97.5/2</f>
        <v>48.75</v>
      </c>
      <c r="H38" s="96"/>
      <c r="I38" s="96"/>
      <c r="J38" s="96"/>
      <c r="K38" s="96"/>
      <c r="L38" s="96"/>
      <c r="M38" s="96">
        <f t="shared" si="6"/>
        <v>79.03</v>
      </c>
      <c r="N38" s="96" t="s">
        <v>132</v>
      </c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</row>
    <row r="39" spans="1:69" s="97" customFormat="1">
      <c r="A39" s="92" t="s">
        <v>334</v>
      </c>
      <c r="B39" s="92" t="s">
        <v>335</v>
      </c>
      <c r="C39" s="92" t="s">
        <v>6</v>
      </c>
      <c r="D39" s="93" t="s">
        <v>45</v>
      </c>
      <c r="E39" s="94">
        <f>79.46/2</f>
        <v>39.729999999999997</v>
      </c>
      <c r="F39" s="95">
        <v>75</v>
      </c>
      <c r="G39" s="94">
        <f>75/2</f>
        <v>37.5</v>
      </c>
      <c r="H39" s="96"/>
      <c r="I39" s="96"/>
      <c r="J39" s="96"/>
      <c r="K39" s="96"/>
      <c r="L39" s="96"/>
      <c r="M39" s="96">
        <f t="shared" si="6"/>
        <v>77.22999999999999</v>
      </c>
      <c r="N39" s="96" t="s">
        <v>132</v>
      </c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</row>
    <row r="40" spans="1:69" s="97" customFormat="1">
      <c r="A40" s="92" t="s">
        <v>336</v>
      </c>
      <c r="B40" s="92" t="s">
        <v>337</v>
      </c>
      <c r="C40" s="92" t="s">
        <v>6</v>
      </c>
      <c r="D40" s="93" t="s">
        <v>69</v>
      </c>
      <c r="E40" s="94">
        <f>77.6/2</f>
        <v>38.799999999999997</v>
      </c>
      <c r="F40" s="95">
        <v>72.5</v>
      </c>
      <c r="G40" s="94">
        <f>72.5/2</f>
        <v>36.25</v>
      </c>
      <c r="H40" s="96"/>
      <c r="I40" s="96"/>
      <c r="J40" s="96"/>
      <c r="K40" s="96"/>
      <c r="L40" s="96"/>
      <c r="M40" s="96">
        <f t="shared" si="6"/>
        <v>75.05</v>
      </c>
      <c r="N40" s="96" t="s">
        <v>132</v>
      </c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</row>
    <row r="41" spans="1:69" s="97" customFormat="1">
      <c r="A41" s="92" t="s">
        <v>338</v>
      </c>
      <c r="B41" s="92" t="s">
        <v>339</v>
      </c>
      <c r="C41" s="92" t="s">
        <v>6</v>
      </c>
      <c r="D41" s="93" t="s">
        <v>46</v>
      </c>
      <c r="E41" s="94">
        <f>59.63/2</f>
        <v>29.815000000000001</v>
      </c>
      <c r="F41" s="95">
        <v>90</v>
      </c>
      <c r="G41" s="94">
        <f>90/2</f>
        <v>45</v>
      </c>
      <c r="H41" s="96"/>
      <c r="I41" s="96"/>
      <c r="J41" s="96"/>
      <c r="K41" s="96"/>
      <c r="L41" s="96"/>
      <c r="M41" s="96">
        <f t="shared" si="6"/>
        <v>74.814999999999998</v>
      </c>
      <c r="N41" s="96" t="s">
        <v>132</v>
      </c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</row>
    <row r="42" spans="1:69" s="97" customFormat="1">
      <c r="A42" s="92" t="s">
        <v>282</v>
      </c>
      <c r="B42" s="92" t="s">
        <v>340</v>
      </c>
      <c r="C42" s="92" t="s">
        <v>6</v>
      </c>
      <c r="D42" s="93" t="s">
        <v>39</v>
      </c>
      <c r="E42" s="94">
        <f>75.03/2</f>
        <v>37.515000000000001</v>
      </c>
      <c r="F42" s="95">
        <v>70</v>
      </c>
      <c r="G42" s="94">
        <f>70/2</f>
        <v>35</v>
      </c>
      <c r="H42" s="96"/>
      <c r="I42" s="96"/>
      <c r="J42" s="96"/>
      <c r="K42" s="96"/>
      <c r="L42" s="96"/>
      <c r="M42" s="96">
        <f t="shared" ref="M42:M51" si="7">E42+G42</f>
        <v>72.515000000000001</v>
      </c>
      <c r="N42" s="96" t="s">
        <v>132</v>
      </c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</row>
    <row r="43" spans="1:69" s="97" customFormat="1">
      <c r="A43" s="92" t="s">
        <v>341</v>
      </c>
      <c r="B43" s="92" t="s">
        <v>342</v>
      </c>
      <c r="C43" s="92" t="s">
        <v>6</v>
      </c>
      <c r="D43" s="93" t="s">
        <v>68</v>
      </c>
      <c r="E43" s="94">
        <f>65/2</f>
        <v>32.5</v>
      </c>
      <c r="F43" s="95">
        <v>80</v>
      </c>
      <c r="G43" s="94">
        <f>80/2</f>
        <v>40</v>
      </c>
      <c r="H43" s="96"/>
      <c r="I43" s="96"/>
      <c r="J43" s="96"/>
      <c r="K43" s="96"/>
      <c r="L43" s="96"/>
      <c r="M43" s="96">
        <f t="shared" si="7"/>
        <v>72.5</v>
      </c>
      <c r="N43" s="96" t="s">
        <v>132</v>
      </c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</row>
    <row r="44" spans="1:69" s="5" customFormat="1">
      <c r="A44" s="14" t="s">
        <v>343</v>
      </c>
      <c r="B44" s="14" t="s">
        <v>344</v>
      </c>
      <c r="C44" s="14" t="s">
        <v>5</v>
      </c>
      <c r="D44" s="41" t="s">
        <v>71</v>
      </c>
      <c r="E44" s="42">
        <f>79.46/2</f>
        <v>39.729999999999997</v>
      </c>
      <c r="F44" s="64">
        <v>85</v>
      </c>
      <c r="G44" s="42">
        <f>85/2</f>
        <v>42.5</v>
      </c>
      <c r="H44" s="15"/>
      <c r="I44" s="15"/>
      <c r="J44" s="15"/>
      <c r="K44" s="15"/>
      <c r="L44" s="15"/>
      <c r="M44" s="15">
        <f t="shared" si="7"/>
        <v>82.22999999999999</v>
      </c>
      <c r="N44" s="15" t="s">
        <v>132</v>
      </c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</row>
    <row r="45" spans="1:69" s="9" customFormat="1">
      <c r="A45" s="20" t="s">
        <v>345</v>
      </c>
      <c r="B45" s="20" t="s">
        <v>346</v>
      </c>
      <c r="C45" s="20" t="s">
        <v>15</v>
      </c>
      <c r="D45" s="51" t="s">
        <v>74</v>
      </c>
      <c r="E45" s="52">
        <f>80.86/2</f>
        <v>40.43</v>
      </c>
      <c r="F45" s="69">
        <v>97.5</v>
      </c>
      <c r="G45" s="52">
        <f>97.5/2</f>
        <v>48.75</v>
      </c>
      <c r="H45" s="21"/>
      <c r="I45" s="21"/>
      <c r="J45" s="21"/>
      <c r="K45" s="21"/>
      <c r="L45" s="21"/>
      <c r="M45" s="21">
        <f>E45+G45</f>
        <v>89.18</v>
      </c>
      <c r="N45" s="21" t="s">
        <v>133</v>
      </c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</row>
    <row r="46" spans="1:69" s="9" customFormat="1">
      <c r="A46" s="20" t="s">
        <v>347</v>
      </c>
      <c r="B46" s="20" t="s">
        <v>348</v>
      </c>
      <c r="C46" s="20" t="s">
        <v>15</v>
      </c>
      <c r="D46" s="51" t="s">
        <v>75</v>
      </c>
      <c r="E46" s="52">
        <f>75.26/2</f>
        <v>37.630000000000003</v>
      </c>
      <c r="F46" s="69">
        <v>97.5</v>
      </c>
      <c r="G46" s="52">
        <f>97.5/2</f>
        <v>48.75</v>
      </c>
      <c r="H46" s="21"/>
      <c r="I46" s="21"/>
      <c r="J46" s="21"/>
      <c r="K46" s="21"/>
      <c r="L46" s="21"/>
      <c r="M46" s="21">
        <f>E46+G46</f>
        <v>86.38</v>
      </c>
      <c r="N46" s="21" t="s">
        <v>132</v>
      </c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</row>
    <row r="47" spans="1:69" s="9" customFormat="1">
      <c r="A47" s="20" t="s">
        <v>349</v>
      </c>
      <c r="B47" s="20" t="s">
        <v>350</v>
      </c>
      <c r="C47" s="20" t="s">
        <v>15</v>
      </c>
      <c r="D47" s="51" t="s">
        <v>72</v>
      </c>
      <c r="E47" s="52">
        <f>73.86/2</f>
        <v>36.93</v>
      </c>
      <c r="F47" s="69">
        <v>95</v>
      </c>
      <c r="G47" s="52">
        <f>95/2</f>
        <v>47.5</v>
      </c>
      <c r="H47" s="21"/>
      <c r="I47" s="21"/>
      <c r="J47" s="21"/>
      <c r="K47" s="21"/>
      <c r="L47" s="21"/>
      <c r="M47" s="21">
        <f>E47+G47</f>
        <v>84.43</v>
      </c>
      <c r="N47" s="21" t="s">
        <v>132</v>
      </c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</row>
    <row r="48" spans="1:69" s="9" customFormat="1">
      <c r="A48" s="20" t="s">
        <v>351</v>
      </c>
      <c r="B48" s="20" t="s">
        <v>352</v>
      </c>
      <c r="C48" s="20" t="s">
        <v>15</v>
      </c>
      <c r="D48" s="51" t="s">
        <v>40</v>
      </c>
      <c r="E48" s="52">
        <f>78.3/2</f>
        <v>39.15</v>
      </c>
      <c r="F48" s="69">
        <v>90</v>
      </c>
      <c r="G48" s="52">
        <f>90/2</f>
        <v>45</v>
      </c>
      <c r="H48" s="21"/>
      <c r="I48" s="21"/>
      <c r="J48" s="21"/>
      <c r="K48" s="21"/>
      <c r="L48" s="21"/>
      <c r="M48" s="21">
        <f t="shared" si="7"/>
        <v>84.15</v>
      </c>
      <c r="N48" s="21" t="s">
        <v>132</v>
      </c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</row>
    <row r="49" spans="1:69" s="9" customFormat="1">
      <c r="A49" s="20" t="s">
        <v>353</v>
      </c>
      <c r="B49" s="20" t="s">
        <v>354</v>
      </c>
      <c r="C49" s="20" t="s">
        <v>15</v>
      </c>
      <c r="D49" s="51" t="s">
        <v>73</v>
      </c>
      <c r="E49" s="52">
        <f>88.8/2</f>
        <v>44.4</v>
      </c>
      <c r="F49" s="69">
        <v>77.5</v>
      </c>
      <c r="G49" s="52">
        <f>77.5/2</f>
        <v>38.75</v>
      </c>
      <c r="H49" s="21"/>
      <c r="I49" s="21"/>
      <c r="J49" s="21"/>
      <c r="K49" s="21"/>
      <c r="L49" s="21"/>
      <c r="M49" s="21">
        <f t="shared" si="7"/>
        <v>83.15</v>
      </c>
      <c r="N49" s="21" t="s">
        <v>132</v>
      </c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</row>
    <row r="50" spans="1:69" s="9" customFormat="1">
      <c r="A50" s="20" t="s">
        <v>355</v>
      </c>
      <c r="B50" s="20" t="s">
        <v>356</v>
      </c>
      <c r="C50" s="20" t="s">
        <v>15</v>
      </c>
      <c r="D50" s="51" t="s">
        <v>34</v>
      </c>
      <c r="E50" s="52">
        <f>88.33/2</f>
        <v>44.164999999999999</v>
      </c>
      <c r="F50" s="69">
        <v>72.5</v>
      </c>
      <c r="G50" s="52">
        <f>72.5/2</f>
        <v>36.25</v>
      </c>
      <c r="H50" s="21"/>
      <c r="I50" s="21"/>
      <c r="J50" s="21"/>
      <c r="K50" s="21"/>
      <c r="L50" s="21"/>
      <c r="M50" s="21">
        <f t="shared" si="7"/>
        <v>80.414999999999992</v>
      </c>
      <c r="N50" s="21" t="s">
        <v>132</v>
      </c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</row>
    <row r="51" spans="1:69" s="10" customFormat="1">
      <c r="A51" s="22" t="s">
        <v>357</v>
      </c>
      <c r="B51" s="22" t="s">
        <v>358</v>
      </c>
      <c r="C51" s="22" t="s">
        <v>19</v>
      </c>
      <c r="D51" s="53" t="s">
        <v>37</v>
      </c>
      <c r="E51" s="54">
        <f>74.8/2</f>
        <v>37.4</v>
      </c>
      <c r="F51" s="70">
        <v>95</v>
      </c>
      <c r="G51" s="54">
        <f>95/2</f>
        <v>47.5</v>
      </c>
      <c r="H51" s="23"/>
      <c r="I51" s="23"/>
      <c r="J51" s="23"/>
      <c r="K51" s="23"/>
      <c r="L51" s="23"/>
      <c r="M51" s="23">
        <f t="shared" si="7"/>
        <v>84.9</v>
      </c>
      <c r="N51" s="23" t="s">
        <v>132</v>
      </c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</row>
    <row r="52" spans="1:69" s="85" customFormat="1">
      <c r="A52" s="80" t="s">
        <v>359</v>
      </c>
      <c r="B52" s="80" t="s">
        <v>360</v>
      </c>
      <c r="C52" s="80" t="s">
        <v>4</v>
      </c>
      <c r="D52" s="81" t="s">
        <v>80</v>
      </c>
      <c r="E52" s="82">
        <f>84.83/2</f>
        <v>42.414999999999999</v>
      </c>
      <c r="F52" s="83">
        <v>97.5</v>
      </c>
      <c r="G52" s="82">
        <f>97.5/2</f>
        <v>48.75</v>
      </c>
      <c r="H52" s="84"/>
      <c r="I52" s="84"/>
      <c r="J52" s="84"/>
      <c r="K52" s="84"/>
      <c r="L52" s="84"/>
      <c r="M52" s="84">
        <f t="shared" ref="M52:M60" si="8">E52+G52</f>
        <v>91.164999999999992</v>
      </c>
      <c r="N52" s="84" t="s">
        <v>133</v>
      </c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</row>
    <row r="53" spans="1:69" s="85" customFormat="1">
      <c r="A53" s="80" t="s">
        <v>361</v>
      </c>
      <c r="B53" s="80" t="s">
        <v>362</v>
      </c>
      <c r="C53" s="80" t="s">
        <v>4</v>
      </c>
      <c r="D53" s="81" t="s">
        <v>31</v>
      </c>
      <c r="E53" s="82">
        <f>84.36/2</f>
        <v>42.18</v>
      </c>
      <c r="F53" s="83">
        <v>92.5</v>
      </c>
      <c r="G53" s="82">
        <f>92.5/2</f>
        <v>46.25</v>
      </c>
      <c r="H53" s="84"/>
      <c r="I53" s="84"/>
      <c r="J53" s="84"/>
      <c r="K53" s="84"/>
      <c r="L53" s="84"/>
      <c r="M53" s="84">
        <f t="shared" si="8"/>
        <v>88.43</v>
      </c>
      <c r="N53" s="84" t="s">
        <v>132</v>
      </c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</row>
    <row r="54" spans="1:69" s="85" customFormat="1">
      <c r="A54" s="80" t="s">
        <v>363</v>
      </c>
      <c r="B54" s="80" t="s">
        <v>364</v>
      </c>
      <c r="C54" s="80" t="s">
        <v>4</v>
      </c>
      <c r="D54" s="81" t="s">
        <v>44</v>
      </c>
      <c r="E54" s="82">
        <f>82.96/2</f>
        <v>41.48</v>
      </c>
      <c r="F54" s="83">
        <v>92.5</v>
      </c>
      <c r="G54" s="82">
        <f>92.5/2</f>
        <v>46.25</v>
      </c>
      <c r="H54" s="84"/>
      <c r="I54" s="84"/>
      <c r="J54" s="84"/>
      <c r="K54" s="84"/>
      <c r="L54" s="84"/>
      <c r="M54" s="84">
        <f t="shared" si="8"/>
        <v>87.72999999999999</v>
      </c>
      <c r="N54" s="84" t="s">
        <v>132</v>
      </c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</row>
    <row r="55" spans="1:69" s="85" customFormat="1">
      <c r="A55" s="80" t="s">
        <v>216</v>
      </c>
      <c r="B55" s="80" t="s">
        <v>365</v>
      </c>
      <c r="C55" s="80" t="s">
        <v>4</v>
      </c>
      <c r="D55" s="81" t="s">
        <v>84</v>
      </c>
      <c r="E55" s="82">
        <f>81.8/2</f>
        <v>40.9</v>
      </c>
      <c r="F55" s="83">
        <v>77.5</v>
      </c>
      <c r="G55" s="82">
        <f>77.5/2</f>
        <v>38.75</v>
      </c>
      <c r="H55" s="84"/>
      <c r="I55" s="84"/>
      <c r="J55" s="84"/>
      <c r="K55" s="84"/>
      <c r="L55" s="84"/>
      <c r="M55" s="84">
        <f t="shared" si="8"/>
        <v>79.650000000000006</v>
      </c>
      <c r="N55" s="84" t="s">
        <v>132</v>
      </c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</row>
    <row r="56" spans="1:69" s="85" customFormat="1">
      <c r="A56" s="80" t="s">
        <v>366</v>
      </c>
      <c r="B56" s="80" t="s">
        <v>367</v>
      </c>
      <c r="C56" s="80" t="s">
        <v>4</v>
      </c>
      <c r="D56" s="81" t="s">
        <v>81</v>
      </c>
      <c r="E56" s="82">
        <f>61.03/2</f>
        <v>30.515000000000001</v>
      </c>
      <c r="F56" s="83">
        <v>97.5</v>
      </c>
      <c r="G56" s="82">
        <f>97.5/2</f>
        <v>48.75</v>
      </c>
      <c r="H56" s="84"/>
      <c r="I56" s="84"/>
      <c r="J56" s="84"/>
      <c r="K56" s="84"/>
      <c r="L56" s="84"/>
      <c r="M56" s="84">
        <f t="shared" si="8"/>
        <v>79.265000000000001</v>
      </c>
      <c r="N56" s="84" t="s">
        <v>132</v>
      </c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</row>
    <row r="57" spans="1:69" s="85" customFormat="1">
      <c r="A57" s="80" t="s">
        <v>368</v>
      </c>
      <c r="B57" s="80" t="s">
        <v>369</v>
      </c>
      <c r="C57" s="80" t="s">
        <v>4</v>
      </c>
      <c r="D57" s="81" t="s">
        <v>78</v>
      </c>
      <c r="E57" s="82">
        <f>83.2/2</f>
        <v>41.6</v>
      </c>
      <c r="F57" s="83">
        <v>72.5</v>
      </c>
      <c r="G57" s="82">
        <f>72.5/2</f>
        <v>36.25</v>
      </c>
      <c r="H57" s="84"/>
      <c r="I57" s="84"/>
      <c r="J57" s="84"/>
      <c r="K57" s="84"/>
      <c r="L57" s="84"/>
      <c r="M57" s="84">
        <f>E57+G57+H57</f>
        <v>77.849999999999994</v>
      </c>
      <c r="N57" s="84" t="s">
        <v>132</v>
      </c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</row>
    <row r="58" spans="1:69" s="85" customFormat="1">
      <c r="A58" s="80" t="s">
        <v>370</v>
      </c>
      <c r="B58" s="80" t="s">
        <v>371</v>
      </c>
      <c r="C58" s="80" t="s">
        <v>4</v>
      </c>
      <c r="D58" s="81" t="s">
        <v>77</v>
      </c>
      <c r="E58" s="82">
        <f>77.6/2</f>
        <v>38.799999999999997</v>
      </c>
      <c r="F58" s="83">
        <v>77.5</v>
      </c>
      <c r="G58" s="82">
        <f>77.5/2</f>
        <v>38.75</v>
      </c>
      <c r="H58" s="84"/>
      <c r="I58" s="84"/>
      <c r="J58" s="84"/>
      <c r="K58" s="84"/>
      <c r="L58" s="84"/>
      <c r="M58" s="84">
        <f t="shared" si="8"/>
        <v>77.55</v>
      </c>
      <c r="N58" s="84" t="s">
        <v>132</v>
      </c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</row>
    <row r="59" spans="1:69" s="85" customFormat="1">
      <c r="A59" s="80" t="s">
        <v>372</v>
      </c>
      <c r="B59" s="80" t="s">
        <v>373</v>
      </c>
      <c r="C59" s="80" t="s">
        <v>4</v>
      </c>
      <c r="D59" s="81" t="s">
        <v>42</v>
      </c>
      <c r="E59" s="82">
        <f>72.46/2</f>
        <v>36.229999999999997</v>
      </c>
      <c r="F59" s="83">
        <v>80</v>
      </c>
      <c r="G59" s="82">
        <f>80/2</f>
        <v>40</v>
      </c>
      <c r="H59" s="84"/>
      <c r="I59" s="84"/>
      <c r="J59" s="84"/>
      <c r="K59" s="84"/>
      <c r="L59" s="84"/>
      <c r="M59" s="84">
        <f t="shared" si="8"/>
        <v>76.22999999999999</v>
      </c>
      <c r="N59" s="84" t="s">
        <v>132</v>
      </c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</row>
    <row r="60" spans="1:69" s="85" customFormat="1">
      <c r="A60" s="80" t="s">
        <v>374</v>
      </c>
      <c r="B60" s="80" t="s">
        <v>375</v>
      </c>
      <c r="C60" s="80" t="s">
        <v>4</v>
      </c>
      <c r="D60" s="81" t="s">
        <v>55</v>
      </c>
      <c r="E60" s="82">
        <f>79.7/2</f>
        <v>39.85</v>
      </c>
      <c r="F60" s="83">
        <v>72.5</v>
      </c>
      <c r="G60" s="82">
        <f>72.5/2</f>
        <v>36.25</v>
      </c>
      <c r="H60" s="84"/>
      <c r="I60" s="84"/>
      <c r="J60" s="84"/>
      <c r="K60" s="84"/>
      <c r="L60" s="84"/>
      <c r="M60" s="84">
        <f t="shared" si="8"/>
        <v>76.099999999999994</v>
      </c>
      <c r="N60" s="84" t="s">
        <v>132</v>
      </c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</row>
    <row r="61" spans="1:69" s="85" customFormat="1">
      <c r="A61" s="80" t="s">
        <v>376</v>
      </c>
      <c r="B61" s="80" t="s">
        <v>377</v>
      </c>
      <c r="C61" s="80" t="s">
        <v>4</v>
      </c>
      <c r="D61" s="81" t="s">
        <v>69</v>
      </c>
      <c r="E61" s="82">
        <f>77.6/2</f>
        <v>38.799999999999997</v>
      </c>
      <c r="F61" s="83">
        <v>70</v>
      </c>
      <c r="G61" s="82">
        <f>70/2</f>
        <v>35</v>
      </c>
      <c r="H61" s="84"/>
      <c r="I61" s="84"/>
      <c r="J61" s="84"/>
      <c r="K61" s="84"/>
      <c r="L61" s="84"/>
      <c r="M61" s="84">
        <f t="shared" ref="M61:M100" si="9">E61+G61</f>
        <v>73.8</v>
      </c>
      <c r="N61" s="84" t="s">
        <v>132</v>
      </c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</row>
    <row r="62" spans="1:69" s="85" customFormat="1">
      <c r="A62" s="80" t="s">
        <v>378</v>
      </c>
      <c r="B62" s="80" t="s">
        <v>379</v>
      </c>
      <c r="C62" s="80" t="s">
        <v>4</v>
      </c>
      <c r="D62" s="81" t="s">
        <v>76</v>
      </c>
      <c r="E62" s="82">
        <f>75.53/2</f>
        <v>37.765000000000001</v>
      </c>
      <c r="F62" s="83">
        <v>70</v>
      </c>
      <c r="G62" s="82">
        <f>70/2</f>
        <v>35</v>
      </c>
      <c r="H62" s="84"/>
      <c r="I62" s="84"/>
      <c r="J62" s="84"/>
      <c r="K62" s="84"/>
      <c r="L62" s="84"/>
      <c r="M62" s="84">
        <f t="shared" si="9"/>
        <v>72.765000000000001</v>
      </c>
      <c r="N62" s="84" t="s">
        <v>132</v>
      </c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</row>
    <row r="63" spans="1:69" s="85" customFormat="1">
      <c r="A63" s="80" t="s">
        <v>380</v>
      </c>
      <c r="B63" s="80" t="s">
        <v>381</v>
      </c>
      <c r="C63" s="80" t="s">
        <v>4</v>
      </c>
      <c r="D63" s="81" t="s">
        <v>83</v>
      </c>
      <c r="E63" s="82">
        <f>72.23/2</f>
        <v>36.115000000000002</v>
      </c>
      <c r="F63" s="83">
        <v>72.5</v>
      </c>
      <c r="G63" s="82">
        <f>72.5/2</f>
        <v>36.25</v>
      </c>
      <c r="H63" s="84"/>
      <c r="I63" s="84"/>
      <c r="J63" s="84"/>
      <c r="K63" s="84"/>
      <c r="L63" s="84"/>
      <c r="M63" s="84">
        <f>E63+G63</f>
        <v>72.365000000000009</v>
      </c>
      <c r="N63" s="84" t="s">
        <v>132</v>
      </c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</row>
    <row r="64" spans="1:69" s="85" customFormat="1">
      <c r="A64" s="80" t="s">
        <v>382</v>
      </c>
      <c r="B64" s="80" t="s">
        <v>383</v>
      </c>
      <c r="C64" s="80" t="s">
        <v>4</v>
      </c>
      <c r="D64" s="81" t="s">
        <v>82</v>
      </c>
      <c r="E64" s="82">
        <f>65.93/2</f>
        <v>32.965000000000003</v>
      </c>
      <c r="F64" s="83">
        <v>70</v>
      </c>
      <c r="G64" s="82">
        <f>70/2</f>
        <v>35</v>
      </c>
      <c r="H64" s="84"/>
      <c r="I64" s="84"/>
      <c r="J64" s="84"/>
      <c r="K64" s="84"/>
      <c r="L64" s="84"/>
      <c r="M64" s="84">
        <f t="shared" si="9"/>
        <v>67.965000000000003</v>
      </c>
      <c r="N64" s="84" t="s">
        <v>132</v>
      </c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</row>
    <row r="65" spans="1:69" s="35" customFormat="1">
      <c r="A65" s="33" t="s">
        <v>384</v>
      </c>
      <c r="B65" s="33" t="s">
        <v>385</v>
      </c>
      <c r="C65" s="33" t="s">
        <v>8</v>
      </c>
      <c r="D65" s="55" t="s">
        <v>86</v>
      </c>
      <c r="E65" s="56">
        <f>97.66/2</f>
        <v>48.83</v>
      </c>
      <c r="F65" s="56">
        <v>73.75</v>
      </c>
      <c r="G65" s="56">
        <f>73.75/2</f>
        <v>36.875</v>
      </c>
      <c r="H65" s="34"/>
      <c r="I65" s="34"/>
      <c r="J65" s="34"/>
      <c r="K65" s="34"/>
      <c r="L65" s="34"/>
      <c r="M65" s="34">
        <f t="shared" ref="M65:M88" si="10">E65+G65</f>
        <v>85.704999999999998</v>
      </c>
      <c r="N65" s="34" t="s">
        <v>132</v>
      </c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</row>
    <row r="66" spans="1:69" s="35" customFormat="1">
      <c r="A66" s="33" t="s">
        <v>386</v>
      </c>
      <c r="B66" s="33" t="s">
        <v>387</v>
      </c>
      <c r="C66" s="33" t="s">
        <v>8</v>
      </c>
      <c r="D66" s="55" t="s">
        <v>85</v>
      </c>
      <c r="E66" s="56">
        <f>97.66/2</f>
        <v>48.83</v>
      </c>
      <c r="F66" s="71">
        <v>72.5</v>
      </c>
      <c r="G66" s="56">
        <f>72.5/2</f>
        <v>36.25</v>
      </c>
      <c r="H66" s="34"/>
      <c r="I66" s="34"/>
      <c r="J66" s="34"/>
      <c r="K66" s="34"/>
      <c r="L66" s="34"/>
      <c r="M66" s="34">
        <f t="shared" si="10"/>
        <v>85.08</v>
      </c>
      <c r="N66" s="34" t="s">
        <v>132</v>
      </c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</row>
    <row r="67" spans="1:69" s="8" customFormat="1">
      <c r="A67" s="24" t="s">
        <v>242</v>
      </c>
      <c r="B67" s="24" t="s">
        <v>243</v>
      </c>
      <c r="C67" s="24" t="s">
        <v>7</v>
      </c>
      <c r="D67" s="57" t="s">
        <v>89</v>
      </c>
      <c r="E67" s="58">
        <f>89.26/2</f>
        <v>44.63</v>
      </c>
      <c r="F67" s="72">
        <v>95</v>
      </c>
      <c r="G67" s="58">
        <f>95/2</f>
        <v>47.5</v>
      </c>
      <c r="H67" s="25"/>
      <c r="I67" s="25"/>
      <c r="J67" s="25"/>
      <c r="K67" s="25"/>
      <c r="L67" s="25"/>
      <c r="M67" s="25">
        <f t="shared" si="10"/>
        <v>92.13</v>
      </c>
      <c r="N67" s="25" t="s">
        <v>133</v>
      </c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</row>
    <row r="68" spans="1:69" s="8" customFormat="1">
      <c r="A68" s="24" t="s">
        <v>244</v>
      </c>
      <c r="B68" s="24" t="s">
        <v>245</v>
      </c>
      <c r="C68" s="24" t="s">
        <v>7</v>
      </c>
      <c r="D68" s="57" t="s">
        <v>107</v>
      </c>
      <c r="E68" s="58">
        <f>83.9/2</f>
        <v>41.95</v>
      </c>
      <c r="F68" s="72">
        <v>97.5</v>
      </c>
      <c r="G68" s="58">
        <f>97.5/2</f>
        <v>48.75</v>
      </c>
      <c r="H68" s="25"/>
      <c r="I68" s="25"/>
      <c r="J68" s="25"/>
      <c r="K68" s="25"/>
      <c r="L68" s="25"/>
      <c r="M68" s="25">
        <f t="shared" si="10"/>
        <v>90.7</v>
      </c>
      <c r="N68" s="25" t="s">
        <v>132</v>
      </c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</row>
    <row r="69" spans="1:69" s="8" customFormat="1">
      <c r="A69" s="24" t="s">
        <v>246</v>
      </c>
      <c r="B69" s="24" t="s">
        <v>247</v>
      </c>
      <c r="C69" s="24" t="s">
        <v>7</v>
      </c>
      <c r="D69" s="57" t="s">
        <v>97</v>
      </c>
      <c r="E69" s="58">
        <f>84.6/2</f>
        <v>42.3</v>
      </c>
      <c r="F69" s="72">
        <v>95</v>
      </c>
      <c r="G69" s="58">
        <f>95/2</f>
        <v>47.5</v>
      </c>
      <c r="H69" s="25"/>
      <c r="I69" s="25"/>
      <c r="J69" s="25"/>
      <c r="K69" s="25"/>
      <c r="L69" s="25"/>
      <c r="M69" s="25">
        <f t="shared" si="10"/>
        <v>89.8</v>
      </c>
      <c r="N69" s="25" t="s">
        <v>132</v>
      </c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</row>
    <row r="70" spans="1:69" s="8" customFormat="1">
      <c r="A70" s="24" t="s">
        <v>248</v>
      </c>
      <c r="B70" s="24" t="s">
        <v>249</v>
      </c>
      <c r="C70" s="24" t="s">
        <v>7</v>
      </c>
      <c r="D70" s="57" t="s">
        <v>47</v>
      </c>
      <c r="E70" s="58">
        <f>96.73/2</f>
        <v>48.365000000000002</v>
      </c>
      <c r="F70" s="72">
        <v>82.5</v>
      </c>
      <c r="G70" s="58">
        <f>82.5/2</f>
        <v>41.25</v>
      </c>
      <c r="H70" s="25"/>
      <c r="I70" s="25"/>
      <c r="J70" s="25"/>
      <c r="K70" s="25"/>
      <c r="L70" s="25"/>
      <c r="M70" s="25">
        <f t="shared" si="10"/>
        <v>89.615000000000009</v>
      </c>
      <c r="N70" s="25" t="s">
        <v>132</v>
      </c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</row>
    <row r="71" spans="1:69" s="8" customFormat="1">
      <c r="A71" s="24" t="s">
        <v>250</v>
      </c>
      <c r="B71" s="24" t="s">
        <v>251</v>
      </c>
      <c r="C71" s="24" t="s">
        <v>7</v>
      </c>
      <c r="D71" s="57" t="s">
        <v>108</v>
      </c>
      <c r="E71" s="58">
        <f>93/2</f>
        <v>46.5</v>
      </c>
      <c r="F71" s="72">
        <v>85</v>
      </c>
      <c r="G71" s="58">
        <f>85/2</f>
        <v>42.5</v>
      </c>
      <c r="H71" s="25"/>
      <c r="I71" s="25"/>
      <c r="J71" s="25"/>
      <c r="K71" s="25"/>
      <c r="L71" s="25"/>
      <c r="M71" s="25">
        <f t="shared" si="10"/>
        <v>89</v>
      </c>
      <c r="N71" s="25" t="s">
        <v>132</v>
      </c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</row>
    <row r="72" spans="1:69" s="8" customFormat="1">
      <c r="A72" s="24" t="s">
        <v>252</v>
      </c>
      <c r="B72" s="24" t="s">
        <v>253</v>
      </c>
      <c r="C72" s="24" t="s">
        <v>7</v>
      </c>
      <c r="D72" s="57" t="s">
        <v>79</v>
      </c>
      <c r="E72" s="58">
        <f>82.5/2</f>
        <v>41.25</v>
      </c>
      <c r="F72" s="72">
        <v>92.5</v>
      </c>
      <c r="G72" s="58">
        <f>92.5/2</f>
        <v>46.25</v>
      </c>
      <c r="H72" s="25"/>
      <c r="I72" s="25"/>
      <c r="J72" s="25"/>
      <c r="K72" s="25"/>
      <c r="L72" s="25"/>
      <c r="M72" s="25">
        <f t="shared" si="10"/>
        <v>87.5</v>
      </c>
      <c r="N72" s="25" t="s">
        <v>132</v>
      </c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</row>
    <row r="73" spans="1:69" s="8" customFormat="1">
      <c r="A73" s="24" t="s">
        <v>254</v>
      </c>
      <c r="B73" s="24" t="s">
        <v>255</v>
      </c>
      <c r="C73" s="24" t="s">
        <v>7</v>
      </c>
      <c r="D73" s="57" t="s">
        <v>92</v>
      </c>
      <c r="E73" s="58">
        <f>91.36/2</f>
        <v>45.68</v>
      </c>
      <c r="F73" s="72">
        <v>82.5</v>
      </c>
      <c r="G73" s="58">
        <f>82.5/2</f>
        <v>41.25</v>
      </c>
      <c r="H73" s="25"/>
      <c r="I73" s="25"/>
      <c r="J73" s="25"/>
      <c r="K73" s="25"/>
      <c r="L73" s="25"/>
      <c r="M73" s="25">
        <f t="shared" si="10"/>
        <v>86.93</v>
      </c>
      <c r="N73" s="25" t="s">
        <v>132</v>
      </c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</row>
    <row r="74" spans="1:69" s="8" customFormat="1">
      <c r="A74" s="24" t="s">
        <v>256</v>
      </c>
      <c r="B74" s="24" t="s">
        <v>257</v>
      </c>
      <c r="C74" s="24" t="s">
        <v>7</v>
      </c>
      <c r="D74" s="57" t="s">
        <v>73</v>
      </c>
      <c r="E74" s="58">
        <f>88.8/2</f>
        <v>44.4</v>
      </c>
      <c r="F74" s="72">
        <v>85</v>
      </c>
      <c r="G74" s="58">
        <f>85/2</f>
        <v>42.5</v>
      </c>
      <c r="H74" s="25"/>
      <c r="I74" s="25"/>
      <c r="J74" s="25"/>
      <c r="K74" s="25"/>
      <c r="L74" s="25"/>
      <c r="M74" s="25">
        <f t="shared" si="10"/>
        <v>86.9</v>
      </c>
      <c r="N74" s="25" t="s">
        <v>132</v>
      </c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</row>
    <row r="75" spans="1:69" s="8" customFormat="1">
      <c r="A75" s="24" t="s">
        <v>258</v>
      </c>
      <c r="B75" s="24" t="s">
        <v>259</v>
      </c>
      <c r="C75" s="24" t="s">
        <v>7</v>
      </c>
      <c r="D75" s="57" t="s">
        <v>96</v>
      </c>
      <c r="E75" s="58">
        <f>93.46/2</f>
        <v>46.73</v>
      </c>
      <c r="F75" s="72">
        <v>80</v>
      </c>
      <c r="G75" s="58">
        <f>80/2</f>
        <v>40</v>
      </c>
      <c r="H75" s="25"/>
      <c r="I75" s="25"/>
      <c r="J75" s="25"/>
      <c r="K75" s="25"/>
      <c r="L75" s="25"/>
      <c r="M75" s="25">
        <f t="shared" si="10"/>
        <v>86.72999999999999</v>
      </c>
      <c r="N75" s="25" t="s">
        <v>132</v>
      </c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</row>
    <row r="76" spans="1:69" s="8" customFormat="1">
      <c r="A76" s="24" t="s">
        <v>202</v>
      </c>
      <c r="B76" s="24" t="s">
        <v>260</v>
      </c>
      <c r="C76" s="24" t="s">
        <v>7</v>
      </c>
      <c r="D76" s="57" t="s">
        <v>78</v>
      </c>
      <c r="E76" s="58">
        <f>83.2/2</f>
        <v>41.6</v>
      </c>
      <c r="F76" s="72">
        <v>90</v>
      </c>
      <c r="G76" s="58">
        <f>90/2</f>
        <v>45</v>
      </c>
      <c r="H76" s="25"/>
      <c r="I76" s="25"/>
      <c r="J76" s="25"/>
      <c r="K76" s="25"/>
      <c r="L76" s="25"/>
      <c r="M76" s="25">
        <f t="shared" si="10"/>
        <v>86.6</v>
      </c>
      <c r="N76" s="25" t="s">
        <v>132</v>
      </c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</row>
    <row r="77" spans="1:69" s="8" customFormat="1">
      <c r="A77" s="24" t="s">
        <v>261</v>
      </c>
      <c r="B77" s="24" t="s">
        <v>262</v>
      </c>
      <c r="C77" s="24" t="s">
        <v>7</v>
      </c>
      <c r="D77" s="57" t="s">
        <v>110</v>
      </c>
      <c r="E77" s="58">
        <f>79.23/2</f>
        <v>39.615000000000002</v>
      </c>
      <c r="F77" s="72">
        <v>92.5</v>
      </c>
      <c r="G77" s="58">
        <f>92.5/2</f>
        <v>46.25</v>
      </c>
      <c r="H77" s="25"/>
      <c r="I77" s="25"/>
      <c r="J77" s="25"/>
      <c r="K77" s="25"/>
      <c r="L77" s="25"/>
      <c r="M77" s="25">
        <f t="shared" si="10"/>
        <v>85.865000000000009</v>
      </c>
      <c r="N77" s="25" t="s">
        <v>132</v>
      </c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</row>
    <row r="78" spans="1:69" s="8" customFormat="1">
      <c r="A78" s="24" t="s">
        <v>263</v>
      </c>
      <c r="B78" s="24" t="s">
        <v>264</v>
      </c>
      <c r="C78" s="24" t="s">
        <v>7</v>
      </c>
      <c r="D78" s="57" t="s">
        <v>107</v>
      </c>
      <c r="E78" s="58">
        <f>83.9/2</f>
        <v>41.95</v>
      </c>
      <c r="F78" s="72">
        <v>87.5</v>
      </c>
      <c r="G78" s="58">
        <f>87.5/2</f>
        <v>43.75</v>
      </c>
      <c r="H78" s="25"/>
      <c r="I78" s="25"/>
      <c r="J78" s="25"/>
      <c r="K78" s="25"/>
      <c r="L78" s="25"/>
      <c r="M78" s="25">
        <f t="shared" si="10"/>
        <v>85.7</v>
      </c>
      <c r="N78" s="25" t="s">
        <v>132</v>
      </c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</row>
    <row r="79" spans="1:69" s="8" customFormat="1">
      <c r="A79" s="24" t="s">
        <v>265</v>
      </c>
      <c r="B79" s="24" t="s">
        <v>266</v>
      </c>
      <c r="C79" s="24" t="s">
        <v>7</v>
      </c>
      <c r="D79" s="57" t="s">
        <v>111</v>
      </c>
      <c r="E79" s="58">
        <f>79/2</f>
        <v>39.5</v>
      </c>
      <c r="F79" s="72">
        <v>90</v>
      </c>
      <c r="G79" s="58">
        <f>90/2</f>
        <v>45</v>
      </c>
      <c r="H79" s="25"/>
      <c r="I79" s="25"/>
      <c r="J79" s="25"/>
      <c r="K79" s="25"/>
      <c r="L79" s="25"/>
      <c r="M79" s="25">
        <f t="shared" si="10"/>
        <v>84.5</v>
      </c>
      <c r="N79" s="25" t="s">
        <v>132</v>
      </c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</row>
    <row r="80" spans="1:69" s="8" customFormat="1">
      <c r="A80" s="24" t="s">
        <v>267</v>
      </c>
      <c r="B80" s="24" t="s">
        <v>268</v>
      </c>
      <c r="C80" s="24" t="s">
        <v>7</v>
      </c>
      <c r="D80" s="57" t="s">
        <v>101</v>
      </c>
      <c r="E80" s="58">
        <f>74.56/2</f>
        <v>37.28</v>
      </c>
      <c r="F80" s="72">
        <v>92.5</v>
      </c>
      <c r="G80" s="58">
        <f>92.5/2</f>
        <v>46.25</v>
      </c>
      <c r="H80" s="25"/>
      <c r="I80" s="25"/>
      <c r="J80" s="25"/>
      <c r="K80" s="25"/>
      <c r="L80" s="25"/>
      <c r="M80" s="25">
        <f t="shared" si="10"/>
        <v>83.53</v>
      </c>
      <c r="N80" s="25" t="s">
        <v>132</v>
      </c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</row>
    <row r="81" spans="1:69" s="8" customFormat="1">
      <c r="A81" s="24" t="s">
        <v>269</v>
      </c>
      <c r="B81" s="24" t="s">
        <v>270</v>
      </c>
      <c r="C81" s="24" t="s">
        <v>7</v>
      </c>
      <c r="D81" s="57" t="s">
        <v>112</v>
      </c>
      <c r="E81" s="58">
        <f>74.33/2</f>
        <v>37.164999999999999</v>
      </c>
      <c r="F81" s="72">
        <v>92.5</v>
      </c>
      <c r="G81" s="58">
        <f>92.5/2</f>
        <v>46.25</v>
      </c>
      <c r="H81" s="25"/>
      <c r="I81" s="25"/>
      <c r="J81" s="25"/>
      <c r="K81" s="25"/>
      <c r="L81" s="25"/>
      <c r="M81" s="25">
        <f t="shared" si="10"/>
        <v>83.414999999999992</v>
      </c>
      <c r="N81" s="25" t="s">
        <v>132</v>
      </c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</row>
    <row r="82" spans="1:69" s="8" customFormat="1">
      <c r="A82" s="24" t="s">
        <v>271</v>
      </c>
      <c r="B82" s="24" t="s">
        <v>272</v>
      </c>
      <c r="C82" s="24" t="s">
        <v>7</v>
      </c>
      <c r="D82" s="57" t="s">
        <v>55</v>
      </c>
      <c r="E82" s="58">
        <f>79.7/2</f>
        <v>39.85</v>
      </c>
      <c r="F82" s="72">
        <v>85</v>
      </c>
      <c r="G82" s="58">
        <f>85/2</f>
        <v>42.5</v>
      </c>
      <c r="H82" s="25"/>
      <c r="I82" s="25"/>
      <c r="J82" s="25"/>
      <c r="K82" s="25"/>
      <c r="L82" s="25"/>
      <c r="M82" s="25">
        <f t="shared" si="10"/>
        <v>82.35</v>
      </c>
      <c r="N82" s="25" t="s">
        <v>132</v>
      </c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</row>
    <row r="83" spans="1:69" s="8" customFormat="1">
      <c r="A83" s="24" t="s">
        <v>273</v>
      </c>
      <c r="B83" s="24" t="s">
        <v>274</v>
      </c>
      <c r="C83" s="24" t="s">
        <v>7</v>
      </c>
      <c r="D83" s="57" t="s">
        <v>105</v>
      </c>
      <c r="E83" s="58">
        <f>67.1/2</f>
        <v>33.549999999999997</v>
      </c>
      <c r="F83" s="72">
        <v>97.5</v>
      </c>
      <c r="G83" s="58">
        <f>97.5/2</f>
        <v>48.75</v>
      </c>
      <c r="H83" s="25"/>
      <c r="I83" s="25"/>
      <c r="J83" s="25"/>
      <c r="K83" s="25"/>
      <c r="L83" s="25"/>
      <c r="M83" s="25">
        <f t="shared" si="10"/>
        <v>82.3</v>
      </c>
      <c r="N83" s="25" t="s">
        <v>132</v>
      </c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</row>
    <row r="84" spans="1:69" s="8" customFormat="1">
      <c r="A84" s="24" t="s">
        <v>158</v>
      </c>
      <c r="B84" s="24" t="s">
        <v>275</v>
      </c>
      <c r="C84" s="24" t="s">
        <v>7</v>
      </c>
      <c r="D84" s="57" t="s">
        <v>102</v>
      </c>
      <c r="E84" s="58">
        <f>78.06/2</f>
        <v>39.03</v>
      </c>
      <c r="F84" s="72">
        <v>85</v>
      </c>
      <c r="G84" s="58">
        <f>85/2</f>
        <v>42.5</v>
      </c>
      <c r="H84" s="25"/>
      <c r="I84" s="25"/>
      <c r="J84" s="25"/>
      <c r="K84" s="25"/>
      <c r="L84" s="25"/>
      <c r="M84" s="25">
        <f t="shared" si="10"/>
        <v>81.53</v>
      </c>
      <c r="N84" s="25" t="s">
        <v>132</v>
      </c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</row>
    <row r="85" spans="1:69" s="8" customFormat="1">
      <c r="A85" s="24" t="s">
        <v>276</v>
      </c>
      <c r="B85" s="24" t="s">
        <v>277</v>
      </c>
      <c r="C85" s="24" t="s">
        <v>7</v>
      </c>
      <c r="D85" s="57" t="s">
        <v>109</v>
      </c>
      <c r="E85" s="58">
        <f>79.93/2</f>
        <v>39.965000000000003</v>
      </c>
      <c r="F85" s="72">
        <v>82.5</v>
      </c>
      <c r="G85" s="58">
        <f>82.5/2</f>
        <v>41.25</v>
      </c>
      <c r="H85" s="25"/>
      <c r="I85" s="25"/>
      <c r="J85" s="25"/>
      <c r="K85" s="25"/>
      <c r="L85" s="25"/>
      <c r="M85" s="25">
        <f t="shared" si="10"/>
        <v>81.215000000000003</v>
      </c>
      <c r="N85" s="25" t="s">
        <v>132</v>
      </c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</row>
    <row r="86" spans="1:69" s="8" customFormat="1">
      <c r="A86" s="24" t="s">
        <v>278</v>
      </c>
      <c r="B86" s="24" t="s">
        <v>279</v>
      </c>
      <c r="C86" s="24" t="s">
        <v>7</v>
      </c>
      <c r="D86" s="57" t="s">
        <v>45</v>
      </c>
      <c r="E86" s="58">
        <f>79.46/2</f>
        <v>39.729999999999997</v>
      </c>
      <c r="F86" s="72">
        <v>82.5</v>
      </c>
      <c r="G86" s="58">
        <f>82.5/2</f>
        <v>41.25</v>
      </c>
      <c r="H86" s="25"/>
      <c r="I86" s="25"/>
      <c r="J86" s="25"/>
      <c r="K86" s="25"/>
      <c r="L86" s="25"/>
      <c r="M86" s="25">
        <f t="shared" si="10"/>
        <v>80.97999999999999</v>
      </c>
      <c r="N86" s="25" t="s">
        <v>132</v>
      </c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</row>
    <row r="87" spans="1:69" s="8" customFormat="1">
      <c r="A87" s="24" t="s">
        <v>280</v>
      </c>
      <c r="B87" s="24" t="s">
        <v>281</v>
      </c>
      <c r="C87" s="24" t="s">
        <v>7</v>
      </c>
      <c r="D87" s="57" t="s">
        <v>114</v>
      </c>
      <c r="E87" s="58">
        <f>74.1/2</f>
        <v>37.049999999999997</v>
      </c>
      <c r="F87" s="72">
        <v>87.5</v>
      </c>
      <c r="G87" s="58">
        <f>87.5/2</f>
        <v>43.75</v>
      </c>
      <c r="H87" s="25"/>
      <c r="I87" s="25"/>
      <c r="J87" s="25"/>
      <c r="K87" s="25"/>
      <c r="L87" s="25"/>
      <c r="M87" s="25">
        <f t="shared" si="10"/>
        <v>80.8</v>
      </c>
      <c r="N87" s="25" t="s">
        <v>132</v>
      </c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</row>
    <row r="88" spans="1:69" s="8" customFormat="1">
      <c r="A88" s="24" t="s">
        <v>282</v>
      </c>
      <c r="B88" s="24" t="s">
        <v>283</v>
      </c>
      <c r="C88" s="24" t="s">
        <v>7</v>
      </c>
      <c r="D88" s="57" t="s">
        <v>90</v>
      </c>
      <c r="E88" s="58">
        <f>73.4/2</f>
        <v>36.700000000000003</v>
      </c>
      <c r="F88" s="72">
        <v>87.5</v>
      </c>
      <c r="G88" s="58">
        <f>87.5/2</f>
        <v>43.75</v>
      </c>
      <c r="H88" s="25"/>
      <c r="I88" s="25"/>
      <c r="J88" s="25"/>
      <c r="K88" s="25"/>
      <c r="L88" s="25"/>
      <c r="M88" s="25">
        <f t="shared" si="10"/>
        <v>80.45</v>
      </c>
      <c r="N88" s="25" t="s">
        <v>132</v>
      </c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</row>
    <row r="89" spans="1:69" s="8" customFormat="1">
      <c r="A89" s="24" t="s">
        <v>284</v>
      </c>
      <c r="B89" s="24" t="s">
        <v>285</v>
      </c>
      <c r="C89" s="24" t="s">
        <v>7</v>
      </c>
      <c r="D89" s="57" t="s">
        <v>88</v>
      </c>
      <c r="E89" s="58">
        <f>75.26/2</f>
        <v>37.630000000000003</v>
      </c>
      <c r="F89" s="72">
        <v>85</v>
      </c>
      <c r="G89" s="58">
        <f>85/2</f>
        <v>42.5</v>
      </c>
      <c r="H89" s="25"/>
      <c r="I89" s="25"/>
      <c r="J89" s="25"/>
      <c r="K89" s="25"/>
      <c r="L89" s="25"/>
      <c r="M89" s="25">
        <f t="shared" si="9"/>
        <v>80.13</v>
      </c>
      <c r="N89" s="25" t="s">
        <v>132</v>
      </c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</row>
    <row r="90" spans="1:69" s="8" customFormat="1">
      <c r="A90" s="24" t="s">
        <v>286</v>
      </c>
      <c r="B90" s="24" t="s">
        <v>287</v>
      </c>
      <c r="C90" s="24" t="s">
        <v>7</v>
      </c>
      <c r="D90" s="57" t="s">
        <v>95</v>
      </c>
      <c r="E90" s="58">
        <f>76.43/2</f>
        <v>38.215000000000003</v>
      </c>
      <c r="F90" s="72">
        <v>82.5</v>
      </c>
      <c r="G90" s="58">
        <f>82.5/2</f>
        <v>41.25</v>
      </c>
      <c r="H90" s="25"/>
      <c r="I90" s="25"/>
      <c r="J90" s="25"/>
      <c r="K90" s="25"/>
      <c r="L90" s="25"/>
      <c r="M90" s="25">
        <f>E90+G90</f>
        <v>79.465000000000003</v>
      </c>
      <c r="N90" s="25" t="s">
        <v>132</v>
      </c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</row>
    <row r="91" spans="1:69" s="8" customFormat="1">
      <c r="A91" s="24" t="s">
        <v>288</v>
      </c>
      <c r="B91" s="24" t="s">
        <v>289</v>
      </c>
      <c r="C91" s="24" t="s">
        <v>7</v>
      </c>
      <c r="D91" s="57" t="s">
        <v>99</v>
      </c>
      <c r="E91" s="58">
        <f>74.1/2</f>
        <v>37.049999999999997</v>
      </c>
      <c r="F91" s="72">
        <v>82.5</v>
      </c>
      <c r="G91" s="58">
        <f>82.5/2</f>
        <v>41.25</v>
      </c>
      <c r="H91" s="25"/>
      <c r="I91" s="25"/>
      <c r="J91" s="25"/>
      <c r="K91" s="25"/>
      <c r="L91" s="25"/>
      <c r="M91" s="25">
        <f>E91+G91</f>
        <v>78.3</v>
      </c>
      <c r="N91" s="25" t="s">
        <v>132</v>
      </c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</row>
    <row r="92" spans="1:69" s="8" customFormat="1">
      <c r="A92" s="24" t="s">
        <v>290</v>
      </c>
      <c r="B92" s="24" t="s">
        <v>291</v>
      </c>
      <c r="C92" s="24" t="s">
        <v>7</v>
      </c>
      <c r="D92" s="57" t="s">
        <v>106</v>
      </c>
      <c r="E92" s="58">
        <f>77.36/2</f>
        <v>38.68</v>
      </c>
      <c r="F92" s="72">
        <v>80</v>
      </c>
      <c r="G92" s="58">
        <f>80/2</f>
        <v>40</v>
      </c>
      <c r="H92" s="25"/>
      <c r="I92" s="25"/>
      <c r="J92" s="25"/>
      <c r="K92" s="25"/>
      <c r="L92" s="25"/>
      <c r="M92" s="25">
        <f>E92+G92</f>
        <v>78.680000000000007</v>
      </c>
      <c r="N92" s="25" t="s">
        <v>132</v>
      </c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</row>
    <row r="93" spans="1:69" s="8" customFormat="1">
      <c r="A93" s="24" t="s">
        <v>292</v>
      </c>
      <c r="B93" s="24" t="s">
        <v>293</v>
      </c>
      <c r="C93" s="24" t="s">
        <v>7</v>
      </c>
      <c r="D93" s="57" t="s">
        <v>91</v>
      </c>
      <c r="E93" s="58">
        <f>71.53/2</f>
        <v>35.765000000000001</v>
      </c>
      <c r="F93" s="72">
        <v>85</v>
      </c>
      <c r="G93" s="58">
        <f>85/2</f>
        <v>42.5</v>
      </c>
      <c r="H93" s="25"/>
      <c r="I93" s="25"/>
      <c r="J93" s="25"/>
      <c r="K93" s="25"/>
      <c r="L93" s="25"/>
      <c r="M93" s="25">
        <f t="shared" si="9"/>
        <v>78.265000000000001</v>
      </c>
      <c r="N93" s="25" t="s">
        <v>132</v>
      </c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</row>
    <row r="94" spans="1:69" s="8" customFormat="1">
      <c r="A94" s="24" t="s">
        <v>294</v>
      </c>
      <c r="B94" s="24" t="s">
        <v>295</v>
      </c>
      <c r="C94" s="24" t="s">
        <v>7</v>
      </c>
      <c r="D94" s="57" t="s">
        <v>44</v>
      </c>
      <c r="E94" s="58">
        <f>82.96/2</f>
        <v>41.48</v>
      </c>
      <c r="F94" s="72">
        <v>72.5</v>
      </c>
      <c r="G94" s="58">
        <f>72.5/2</f>
        <v>36.25</v>
      </c>
      <c r="H94" s="25"/>
      <c r="I94" s="25"/>
      <c r="J94" s="25"/>
      <c r="K94" s="25"/>
      <c r="L94" s="25"/>
      <c r="M94" s="25">
        <f>E94+G94</f>
        <v>77.72999999999999</v>
      </c>
      <c r="N94" s="25" t="s">
        <v>132</v>
      </c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</row>
    <row r="95" spans="1:69" s="8" customFormat="1">
      <c r="A95" s="24" t="s">
        <v>296</v>
      </c>
      <c r="B95" s="24" t="s">
        <v>297</v>
      </c>
      <c r="C95" s="24" t="s">
        <v>7</v>
      </c>
      <c r="D95" s="57" t="s">
        <v>113</v>
      </c>
      <c r="E95" s="58">
        <f>68.5/2</f>
        <v>34.25</v>
      </c>
      <c r="F95" s="72">
        <v>85</v>
      </c>
      <c r="G95" s="58">
        <f>85/2</f>
        <v>42.5</v>
      </c>
      <c r="H95" s="25"/>
      <c r="I95" s="25"/>
      <c r="J95" s="25"/>
      <c r="K95" s="25"/>
      <c r="L95" s="25"/>
      <c r="M95" s="25">
        <f>E95+G95</f>
        <v>76.75</v>
      </c>
      <c r="N95" s="25" t="s">
        <v>132</v>
      </c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</row>
    <row r="96" spans="1:69" s="8" customFormat="1">
      <c r="A96" s="24" t="s">
        <v>298</v>
      </c>
      <c r="B96" s="24" t="s">
        <v>299</v>
      </c>
      <c r="C96" s="24" t="s">
        <v>7</v>
      </c>
      <c r="D96" s="57" t="s">
        <v>104</v>
      </c>
      <c r="E96" s="58">
        <f>64.3/2</f>
        <v>32.15</v>
      </c>
      <c r="F96" s="72">
        <v>87.5</v>
      </c>
      <c r="G96" s="58">
        <f>87.5/2</f>
        <v>43.75</v>
      </c>
      <c r="H96" s="25"/>
      <c r="I96" s="25"/>
      <c r="J96" s="25"/>
      <c r="K96" s="25"/>
      <c r="L96" s="25"/>
      <c r="M96" s="25">
        <f>E96+G96</f>
        <v>75.900000000000006</v>
      </c>
      <c r="N96" s="25" t="s">
        <v>132</v>
      </c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</row>
    <row r="97" spans="1:69" s="8" customFormat="1">
      <c r="A97" s="24" t="s">
        <v>300</v>
      </c>
      <c r="B97" s="24" t="s">
        <v>301</v>
      </c>
      <c r="C97" s="24" t="s">
        <v>7</v>
      </c>
      <c r="D97" s="57" t="s">
        <v>65</v>
      </c>
      <c r="E97" s="58">
        <f>58.46/2</f>
        <v>29.23</v>
      </c>
      <c r="F97" s="72">
        <v>92.5</v>
      </c>
      <c r="G97" s="58">
        <f>92.5/2</f>
        <v>46.25</v>
      </c>
      <c r="H97" s="25"/>
      <c r="I97" s="25"/>
      <c r="J97" s="25"/>
      <c r="K97" s="25"/>
      <c r="L97" s="25"/>
      <c r="M97" s="25">
        <f t="shared" si="9"/>
        <v>75.48</v>
      </c>
      <c r="N97" s="25" t="s">
        <v>132</v>
      </c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</row>
    <row r="98" spans="1:69" s="8" customFormat="1">
      <c r="A98" s="24" t="s">
        <v>302</v>
      </c>
      <c r="B98" s="24" t="s">
        <v>303</v>
      </c>
      <c r="C98" s="24" t="s">
        <v>7</v>
      </c>
      <c r="D98" s="57" t="s">
        <v>94</v>
      </c>
      <c r="E98" s="58">
        <f>75.73/2</f>
        <v>37.865000000000002</v>
      </c>
      <c r="F98" s="72">
        <v>70</v>
      </c>
      <c r="G98" s="58">
        <f>70/2</f>
        <v>35</v>
      </c>
      <c r="H98" s="25"/>
      <c r="I98" s="25"/>
      <c r="J98" s="25"/>
      <c r="K98" s="25"/>
      <c r="L98" s="25"/>
      <c r="M98" s="25">
        <f t="shared" si="9"/>
        <v>72.865000000000009</v>
      </c>
      <c r="N98" s="25" t="s">
        <v>132</v>
      </c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</row>
    <row r="99" spans="1:69" s="8" customFormat="1">
      <c r="A99" s="24" t="s">
        <v>304</v>
      </c>
      <c r="B99" s="24" t="s">
        <v>305</v>
      </c>
      <c r="C99" s="24" t="s">
        <v>7</v>
      </c>
      <c r="D99" s="57" t="s">
        <v>93</v>
      </c>
      <c r="E99" s="58">
        <f>61.96/2</f>
        <v>30.98</v>
      </c>
      <c r="F99" s="72">
        <v>72.5</v>
      </c>
      <c r="G99" s="58">
        <f>72.5/2</f>
        <v>36.25</v>
      </c>
      <c r="H99" s="25"/>
      <c r="I99" s="25"/>
      <c r="J99" s="25"/>
      <c r="K99" s="25"/>
      <c r="L99" s="25"/>
      <c r="M99" s="25">
        <f>E99+G99</f>
        <v>67.23</v>
      </c>
      <c r="N99" s="25" t="s">
        <v>132</v>
      </c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</row>
    <row r="100" spans="1:69" s="8" customFormat="1">
      <c r="A100" s="24" t="s">
        <v>306</v>
      </c>
      <c r="B100" s="24" t="s">
        <v>307</v>
      </c>
      <c r="C100" s="24" t="s">
        <v>7</v>
      </c>
      <c r="D100" s="57" t="s">
        <v>100</v>
      </c>
      <c r="E100" s="58">
        <f>62.66/2</f>
        <v>31.33</v>
      </c>
      <c r="F100" s="72">
        <v>70</v>
      </c>
      <c r="G100" s="58">
        <f>70/2</f>
        <v>35</v>
      </c>
      <c r="H100" s="25"/>
      <c r="I100" s="25"/>
      <c r="J100" s="25"/>
      <c r="K100" s="25"/>
      <c r="L100" s="25"/>
      <c r="M100" s="25">
        <f t="shared" si="9"/>
        <v>66.33</v>
      </c>
      <c r="N100" s="25" t="s">
        <v>132</v>
      </c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</row>
    <row r="101" spans="1:69" s="3" customFormat="1">
      <c r="A101" s="26" t="s">
        <v>308</v>
      </c>
      <c r="B101" s="26" t="s">
        <v>309</v>
      </c>
      <c r="C101" s="26" t="s">
        <v>9</v>
      </c>
      <c r="D101" s="59" t="s">
        <v>117</v>
      </c>
      <c r="E101" s="60">
        <f>82.26/2</f>
        <v>41.13</v>
      </c>
      <c r="F101" s="73">
        <v>75</v>
      </c>
      <c r="G101" s="60">
        <f>75/2</f>
        <v>37.5</v>
      </c>
      <c r="H101" s="27"/>
      <c r="I101" s="27"/>
      <c r="J101" s="27"/>
      <c r="K101" s="27"/>
      <c r="L101" s="27"/>
      <c r="M101" s="27">
        <f t="shared" ref="M101:M120" si="11">E101+G101</f>
        <v>78.63</v>
      </c>
      <c r="N101" s="27" t="s">
        <v>132</v>
      </c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</row>
    <row r="102" spans="1:69" s="3" customFormat="1">
      <c r="A102" s="26" t="s">
        <v>310</v>
      </c>
      <c r="B102" s="26" t="s">
        <v>311</v>
      </c>
      <c r="C102" s="26" t="s">
        <v>9</v>
      </c>
      <c r="D102" s="59" t="s">
        <v>115</v>
      </c>
      <c r="E102" s="60">
        <f>71.76/2</f>
        <v>35.880000000000003</v>
      </c>
      <c r="F102" s="73">
        <v>80</v>
      </c>
      <c r="G102" s="60">
        <f>80/2</f>
        <v>40</v>
      </c>
      <c r="H102" s="27"/>
      <c r="I102" s="27"/>
      <c r="J102" s="27"/>
      <c r="K102" s="27"/>
      <c r="L102" s="27"/>
      <c r="M102" s="27">
        <f t="shared" si="11"/>
        <v>75.88</v>
      </c>
      <c r="N102" s="27" t="s">
        <v>132</v>
      </c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</row>
    <row r="103" spans="1:69" s="3" customFormat="1">
      <c r="A103" s="26" t="s">
        <v>312</v>
      </c>
      <c r="B103" s="26" t="s">
        <v>313</v>
      </c>
      <c r="C103" s="26" t="s">
        <v>9</v>
      </c>
      <c r="D103" s="59" t="s">
        <v>116</v>
      </c>
      <c r="E103" s="60">
        <f>63.36/2</f>
        <v>31.68</v>
      </c>
      <c r="F103" s="73">
        <v>72.5</v>
      </c>
      <c r="G103" s="60">
        <f>72.5/2</f>
        <v>36.25</v>
      </c>
      <c r="H103" s="27"/>
      <c r="I103" s="27"/>
      <c r="J103" s="27"/>
      <c r="K103" s="27"/>
      <c r="L103" s="27"/>
      <c r="M103" s="27">
        <f t="shared" si="11"/>
        <v>67.930000000000007</v>
      </c>
      <c r="N103" s="27" t="s">
        <v>132</v>
      </c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</row>
    <row r="104" spans="1:69" s="4" customFormat="1">
      <c r="A104" s="12" t="s">
        <v>314</v>
      </c>
      <c r="B104" s="12" t="s">
        <v>315</v>
      </c>
      <c r="C104" s="12" t="s">
        <v>17</v>
      </c>
      <c r="D104" s="39" t="s">
        <v>118</v>
      </c>
      <c r="E104" s="40">
        <f>78.53/2</f>
        <v>39.265000000000001</v>
      </c>
      <c r="F104" s="63">
        <v>92.5</v>
      </c>
      <c r="G104" s="40">
        <f>92.5/2</f>
        <v>46.25</v>
      </c>
      <c r="H104" s="13"/>
      <c r="I104" s="13"/>
      <c r="J104" s="13"/>
      <c r="K104" s="13"/>
      <c r="L104" s="13"/>
      <c r="M104" s="13">
        <f t="shared" si="11"/>
        <v>85.515000000000001</v>
      </c>
      <c r="N104" s="13" t="s">
        <v>132</v>
      </c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</row>
    <row r="105" spans="1:69" s="4" customFormat="1">
      <c r="A105" s="12" t="s">
        <v>316</v>
      </c>
      <c r="B105" s="12" t="s">
        <v>317</v>
      </c>
      <c r="C105" s="12" t="s">
        <v>17</v>
      </c>
      <c r="D105" s="39" t="s">
        <v>52</v>
      </c>
      <c r="E105" s="40">
        <f>66.16/2</f>
        <v>33.08</v>
      </c>
      <c r="F105" s="63">
        <v>92.5</v>
      </c>
      <c r="G105" s="40">
        <f>92.5/2</f>
        <v>46.25</v>
      </c>
      <c r="H105" s="13"/>
      <c r="I105" s="13"/>
      <c r="J105" s="13"/>
      <c r="K105" s="13"/>
      <c r="L105" s="13"/>
      <c r="M105" s="13">
        <f t="shared" si="11"/>
        <v>79.33</v>
      </c>
      <c r="N105" s="13" t="s">
        <v>132</v>
      </c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</row>
    <row r="106" spans="1:69" s="4" customFormat="1">
      <c r="A106" s="12" t="s">
        <v>318</v>
      </c>
      <c r="B106" s="12" t="s">
        <v>319</v>
      </c>
      <c r="C106" s="12" t="s">
        <v>17</v>
      </c>
      <c r="D106" s="39" t="s">
        <v>104</v>
      </c>
      <c r="E106" s="40">
        <f>64.3/2</f>
        <v>32.15</v>
      </c>
      <c r="F106" s="63">
        <v>75</v>
      </c>
      <c r="G106" s="40">
        <f>75/2</f>
        <v>37.5</v>
      </c>
      <c r="H106" s="13"/>
      <c r="I106" s="13"/>
      <c r="J106" s="13"/>
      <c r="K106" s="13"/>
      <c r="L106" s="13"/>
      <c r="M106" s="13">
        <f t="shared" si="11"/>
        <v>69.650000000000006</v>
      </c>
      <c r="N106" s="13" t="s">
        <v>132</v>
      </c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</row>
    <row r="107" spans="1:69" s="4" customFormat="1">
      <c r="A107" s="12" t="s">
        <v>320</v>
      </c>
      <c r="B107" s="12" t="s">
        <v>321</v>
      </c>
      <c r="C107" s="12" t="s">
        <v>17</v>
      </c>
      <c r="D107" s="39" t="s">
        <v>119</v>
      </c>
      <c r="E107" s="40">
        <f>62.43/2</f>
        <v>31.215</v>
      </c>
      <c r="F107" s="63">
        <v>75</v>
      </c>
      <c r="G107" s="40">
        <f>75/2</f>
        <v>37.5</v>
      </c>
      <c r="H107" s="13"/>
      <c r="I107" s="13"/>
      <c r="J107" s="13"/>
      <c r="K107" s="13"/>
      <c r="L107" s="13"/>
      <c r="M107" s="13">
        <f t="shared" si="11"/>
        <v>68.715000000000003</v>
      </c>
      <c r="N107" s="13" t="s">
        <v>132</v>
      </c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</row>
    <row r="108" spans="1:69" s="91" customFormat="1">
      <c r="A108" s="86" t="s">
        <v>322</v>
      </c>
      <c r="B108" s="86" t="s">
        <v>323</v>
      </c>
      <c r="C108" s="86" t="s">
        <v>10</v>
      </c>
      <c r="D108" s="87" t="s">
        <v>121</v>
      </c>
      <c r="E108" s="88">
        <f>76.9/2</f>
        <v>38.450000000000003</v>
      </c>
      <c r="F108" s="89">
        <v>95</v>
      </c>
      <c r="G108" s="88">
        <f>95/2</f>
        <v>47.5</v>
      </c>
      <c r="H108" s="90"/>
      <c r="I108" s="90"/>
      <c r="J108" s="90"/>
      <c r="K108" s="90"/>
      <c r="L108" s="90"/>
      <c r="M108" s="90">
        <f t="shared" si="11"/>
        <v>85.95</v>
      </c>
      <c r="N108" s="90" t="s">
        <v>132</v>
      </c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0"/>
      <c r="BC108" s="90"/>
      <c r="BD108" s="90"/>
      <c r="BE108" s="90"/>
      <c r="BF108" s="90"/>
      <c r="BG108" s="90"/>
      <c r="BH108" s="90"/>
      <c r="BI108" s="90"/>
      <c r="BJ108" s="90"/>
      <c r="BK108" s="90"/>
      <c r="BL108" s="90"/>
      <c r="BM108" s="90"/>
      <c r="BN108" s="90"/>
      <c r="BO108" s="90"/>
      <c r="BP108" s="90"/>
      <c r="BQ108" s="90"/>
    </row>
    <row r="109" spans="1:69" s="91" customFormat="1">
      <c r="A109" s="86" t="s">
        <v>324</v>
      </c>
      <c r="B109" s="86" t="s">
        <v>325</v>
      </c>
      <c r="C109" s="86" t="s">
        <v>10</v>
      </c>
      <c r="D109" s="87" t="s">
        <v>103</v>
      </c>
      <c r="E109" s="88">
        <f>71.06/2</f>
        <v>35.53</v>
      </c>
      <c r="F109" s="89">
        <v>87.5</v>
      </c>
      <c r="G109" s="88">
        <f>87.5/2</f>
        <v>43.75</v>
      </c>
      <c r="H109" s="90"/>
      <c r="I109" s="90"/>
      <c r="J109" s="90"/>
      <c r="K109" s="90"/>
      <c r="L109" s="90"/>
      <c r="M109" s="90">
        <f t="shared" si="11"/>
        <v>79.28</v>
      </c>
      <c r="N109" s="90" t="s">
        <v>132</v>
      </c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  <c r="BM109" s="90"/>
      <c r="BN109" s="90"/>
      <c r="BO109" s="90"/>
      <c r="BP109" s="90"/>
      <c r="BQ109" s="90"/>
    </row>
    <row r="110" spans="1:69" s="91" customFormat="1">
      <c r="A110" s="86" t="s">
        <v>326</v>
      </c>
      <c r="B110" s="86" t="s">
        <v>327</v>
      </c>
      <c r="C110" s="86" t="s">
        <v>10</v>
      </c>
      <c r="D110" s="87" t="s">
        <v>120</v>
      </c>
      <c r="E110" s="88">
        <f>65/2</f>
        <v>32.5</v>
      </c>
      <c r="F110" s="89">
        <v>90</v>
      </c>
      <c r="G110" s="88">
        <f>90/2</f>
        <v>45</v>
      </c>
      <c r="H110" s="90"/>
      <c r="I110" s="90"/>
      <c r="J110" s="90"/>
      <c r="K110" s="90"/>
      <c r="L110" s="90"/>
      <c r="M110" s="90">
        <f t="shared" si="11"/>
        <v>77.5</v>
      </c>
      <c r="N110" s="90" t="s">
        <v>132</v>
      </c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  <c r="BQ110" s="90"/>
    </row>
    <row r="111" spans="1:69" s="79" customFormat="1">
      <c r="A111" s="74" t="s">
        <v>200</v>
      </c>
      <c r="B111" s="74" t="s">
        <v>201</v>
      </c>
      <c r="C111" s="74" t="s">
        <v>14</v>
      </c>
      <c r="D111" s="75" t="s">
        <v>123</v>
      </c>
      <c r="E111" s="76">
        <f>91.13/2</f>
        <v>45.564999999999998</v>
      </c>
      <c r="F111" s="77">
        <v>95</v>
      </c>
      <c r="G111" s="76">
        <f>95/2</f>
        <v>47.5</v>
      </c>
      <c r="H111" s="78"/>
      <c r="I111" s="78"/>
      <c r="J111" s="78"/>
      <c r="K111" s="78"/>
      <c r="L111" s="78"/>
      <c r="M111" s="78">
        <f t="shared" si="11"/>
        <v>93.064999999999998</v>
      </c>
      <c r="N111" s="78" t="s">
        <v>133</v>
      </c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</row>
    <row r="112" spans="1:69" s="79" customFormat="1">
      <c r="A112" s="74" t="s">
        <v>202</v>
      </c>
      <c r="B112" s="74" t="s">
        <v>203</v>
      </c>
      <c r="C112" s="74" t="s">
        <v>14</v>
      </c>
      <c r="D112" s="75" t="s">
        <v>89</v>
      </c>
      <c r="E112" s="76">
        <f>89.26/2</f>
        <v>44.63</v>
      </c>
      <c r="F112" s="77">
        <v>92.5</v>
      </c>
      <c r="G112" s="76">
        <f>92.5/2</f>
        <v>46.25</v>
      </c>
      <c r="H112" s="78"/>
      <c r="I112" s="78"/>
      <c r="J112" s="78"/>
      <c r="K112" s="78"/>
      <c r="L112" s="78"/>
      <c r="M112" s="78">
        <f t="shared" si="11"/>
        <v>90.88</v>
      </c>
      <c r="N112" s="78" t="s">
        <v>132</v>
      </c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78"/>
      <c r="BD112" s="78"/>
      <c r="BE112" s="78"/>
      <c r="BF112" s="78"/>
      <c r="BG112" s="78"/>
      <c r="BH112" s="78"/>
      <c r="BI112" s="78"/>
      <c r="BJ112" s="78"/>
      <c r="BK112" s="78"/>
      <c r="BL112" s="78"/>
      <c r="BM112" s="78"/>
      <c r="BN112" s="78"/>
      <c r="BO112" s="78"/>
      <c r="BP112" s="78"/>
      <c r="BQ112" s="78"/>
    </row>
    <row r="113" spans="1:69" s="79" customFormat="1">
      <c r="A113" s="74" t="s">
        <v>204</v>
      </c>
      <c r="B113" s="74" t="s">
        <v>205</v>
      </c>
      <c r="C113" s="74" t="s">
        <v>14</v>
      </c>
      <c r="D113" s="75" t="s">
        <v>123</v>
      </c>
      <c r="E113" s="76">
        <f>91.13/2</f>
        <v>45.564999999999998</v>
      </c>
      <c r="F113" s="77">
        <v>90</v>
      </c>
      <c r="G113" s="76">
        <f>90/2</f>
        <v>45</v>
      </c>
      <c r="H113" s="78"/>
      <c r="I113" s="78"/>
      <c r="J113" s="78"/>
      <c r="K113" s="78"/>
      <c r="L113" s="78"/>
      <c r="M113" s="78">
        <f t="shared" si="11"/>
        <v>90.564999999999998</v>
      </c>
      <c r="N113" s="78" t="s">
        <v>132</v>
      </c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78"/>
      <c r="BO113" s="78"/>
      <c r="BP113" s="78"/>
      <c r="BQ113" s="78"/>
    </row>
    <row r="114" spans="1:69" s="79" customFormat="1">
      <c r="A114" s="74" t="s">
        <v>206</v>
      </c>
      <c r="B114" s="74" t="s">
        <v>207</v>
      </c>
      <c r="C114" s="74" t="s">
        <v>14</v>
      </c>
      <c r="D114" s="75" t="s">
        <v>126</v>
      </c>
      <c r="E114" s="76">
        <f>91.6/2</f>
        <v>45.8</v>
      </c>
      <c r="F114" s="77">
        <v>87.5</v>
      </c>
      <c r="G114" s="76">
        <f>87.5/2</f>
        <v>43.75</v>
      </c>
      <c r="H114" s="78"/>
      <c r="I114" s="78"/>
      <c r="J114" s="78"/>
      <c r="K114" s="78"/>
      <c r="L114" s="78"/>
      <c r="M114" s="78">
        <f t="shared" si="11"/>
        <v>89.55</v>
      </c>
      <c r="N114" s="78" t="s">
        <v>132</v>
      </c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8"/>
      <c r="BK114" s="78"/>
      <c r="BL114" s="78"/>
      <c r="BM114" s="78"/>
      <c r="BN114" s="78"/>
      <c r="BO114" s="78"/>
      <c r="BP114" s="78"/>
      <c r="BQ114" s="78"/>
    </row>
    <row r="115" spans="1:69" s="79" customFormat="1">
      <c r="A115" s="74" t="s">
        <v>208</v>
      </c>
      <c r="B115" s="74" t="s">
        <v>209</v>
      </c>
      <c r="C115" s="74" t="s">
        <v>14</v>
      </c>
      <c r="D115" s="75" t="s">
        <v>84</v>
      </c>
      <c r="E115" s="76">
        <f>81.8/2</f>
        <v>40.9</v>
      </c>
      <c r="F115" s="77">
        <v>95</v>
      </c>
      <c r="G115" s="76">
        <f>95/2</f>
        <v>47.5</v>
      </c>
      <c r="H115" s="78"/>
      <c r="I115" s="78"/>
      <c r="J115" s="78"/>
      <c r="K115" s="78"/>
      <c r="L115" s="78"/>
      <c r="M115" s="78">
        <f t="shared" si="11"/>
        <v>88.4</v>
      </c>
      <c r="N115" s="78" t="s">
        <v>132</v>
      </c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8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8"/>
      <c r="BO115" s="78"/>
      <c r="BP115" s="78"/>
      <c r="BQ115" s="78"/>
    </row>
    <row r="116" spans="1:69" s="79" customFormat="1">
      <c r="A116" s="74" t="s">
        <v>210</v>
      </c>
      <c r="B116" s="74" t="s">
        <v>211</v>
      </c>
      <c r="C116" s="74" t="s">
        <v>14</v>
      </c>
      <c r="D116" s="75" t="s">
        <v>125</v>
      </c>
      <c r="E116" s="76">
        <f>86.23/2</f>
        <v>43.115000000000002</v>
      </c>
      <c r="F116" s="77">
        <v>90</v>
      </c>
      <c r="G116" s="76">
        <f>90/2</f>
        <v>45</v>
      </c>
      <c r="H116" s="78"/>
      <c r="I116" s="78"/>
      <c r="J116" s="78"/>
      <c r="K116" s="78"/>
      <c r="L116" s="78"/>
      <c r="M116" s="78">
        <f t="shared" si="11"/>
        <v>88.115000000000009</v>
      </c>
      <c r="N116" s="78" t="s">
        <v>132</v>
      </c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  <c r="BK116" s="78"/>
      <c r="BL116" s="78"/>
      <c r="BM116" s="78"/>
      <c r="BN116" s="78"/>
      <c r="BO116" s="78"/>
      <c r="BP116" s="78"/>
      <c r="BQ116" s="78"/>
    </row>
    <row r="117" spans="1:69" s="79" customFormat="1">
      <c r="A117" s="74" t="s">
        <v>212</v>
      </c>
      <c r="B117" s="74" t="s">
        <v>213</v>
      </c>
      <c r="C117" s="74" t="s">
        <v>14</v>
      </c>
      <c r="D117" s="75" t="s">
        <v>98</v>
      </c>
      <c r="E117" s="76">
        <f>90.9/2</f>
        <v>45.45</v>
      </c>
      <c r="F117" s="77">
        <v>85</v>
      </c>
      <c r="G117" s="76">
        <f>85/2</f>
        <v>42.5</v>
      </c>
      <c r="H117" s="78"/>
      <c r="I117" s="78"/>
      <c r="J117" s="78"/>
      <c r="K117" s="78"/>
      <c r="L117" s="78"/>
      <c r="M117" s="78">
        <f t="shared" si="11"/>
        <v>87.95</v>
      </c>
      <c r="N117" s="78" t="s">
        <v>132</v>
      </c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78"/>
      <c r="BP117" s="78"/>
      <c r="BQ117" s="78"/>
    </row>
    <row r="118" spans="1:69" s="79" customFormat="1">
      <c r="A118" s="74" t="s">
        <v>214</v>
      </c>
      <c r="B118" s="74" t="s">
        <v>215</v>
      </c>
      <c r="C118" s="74" t="s">
        <v>14</v>
      </c>
      <c r="D118" s="75" t="s">
        <v>130</v>
      </c>
      <c r="E118" s="76">
        <f>82.03/2</f>
        <v>41.015000000000001</v>
      </c>
      <c r="F118" s="77">
        <v>92.5</v>
      </c>
      <c r="G118" s="76">
        <f>92.5/2</f>
        <v>46.25</v>
      </c>
      <c r="H118" s="78"/>
      <c r="I118" s="78"/>
      <c r="J118" s="78"/>
      <c r="K118" s="78"/>
      <c r="L118" s="78"/>
      <c r="M118" s="78">
        <f t="shared" si="11"/>
        <v>87.265000000000001</v>
      </c>
      <c r="N118" s="78" t="s">
        <v>132</v>
      </c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</row>
    <row r="119" spans="1:69" s="79" customFormat="1">
      <c r="A119" s="74" t="s">
        <v>216</v>
      </c>
      <c r="B119" s="74" t="s">
        <v>217</v>
      </c>
      <c r="C119" s="74" t="s">
        <v>14</v>
      </c>
      <c r="D119" s="75" t="s">
        <v>60</v>
      </c>
      <c r="E119" s="76">
        <f>86.46/2</f>
        <v>43.23</v>
      </c>
      <c r="F119" s="77">
        <v>87.5</v>
      </c>
      <c r="G119" s="76">
        <f>87.5/2</f>
        <v>43.75</v>
      </c>
      <c r="H119" s="78"/>
      <c r="I119" s="78"/>
      <c r="J119" s="78"/>
      <c r="K119" s="78"/>
      <c r="L119" s="78"/>
      <c r="M119" s="78">
        <f t="shared" si="11"/>
        <v>86.97999999999999</v>
      </c>
      <c r="N119" s="78" t="s">
        <v>132</v>
      </c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</row>
    <row r="120" spans="1:69" s="79" customFormat="1">
      <c r="A120" s="74" t="s">
        <v>218</v>
      </c>
      <c r="B120" s="74" t="s">
        <v>219</v>
      </c>
      <c r="C120" s="74" t="s">
        <v>14</v>
      </c>
      <c r="D120" s="75" t="s">
        <v>44</v>
      </c>
      <c r="E120" s="76">
        <f>82.96/2</f>
        <v>41.48</v>
      </c>
      <c r="F120" s="77">
        <v>90</v>
      </c>
      <c r="G120" s="76">
        <f>90/2</f>
        <v>45</v>
      </c>
      <c r="H120" s="78"/>
      <c r="I120" s="78"/>
      <c r="J120" s="78"/>
      <c r="K120" s="78"/>
      <c r="L120" s="78"/>
      <c r="M120" s="78">
        <f t="shared" si="11"/>
        <v>86.47999999999999</v>
      </c>
      <c r="N120" s="78" t="s">
        <v>132</v>
      </c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78"/>
      <c r="BD120" s="78"/>
      <c r="BE120" s="78"/>
      <c r="BF120" s="78"/>
      <c r="BG120" s="78"/>
      <c r="BH120" s="78"/>
      <c r="BI120" s="78"/>
      <c r="BJ120" s="78"/>
      <c r="BK120" s="78"/>
      <c r="BL120" s="78"/>
      <c r="BM120" s="78"/>
      <c r="BN120" s="78"/>
      <c r="BO120" s="78"/>
      <c r="BP120" s="78"/>
      <c r="BQ120" s="78"/>
    </row>
    <row r="121" spans="1:69" s="79" customFormat="1">
      <c r="A121" s="74" t="s">
        <v>220</v>
      </c>
      <c r="B121" s="74" t="s">
        <v>221</v>
      </c>
      <c r="C121" s="74" t="s">
        <v>14</v>
      </c>
      <c r="D121" s="75" t="s">
        <v>122</v>
      </c>
      <c r="E121" s="76">
        <f>89.96/2</f>
        <v>44.98</v>
      </c>
      <c r="F121" s="77">
        <v>80</v>
      </c>
      <c r="G121" s="76">
        <f>80/2</f>
        <v>40</v>
      </c>
      <c r="H121" s="78"/>
      <c r="I121" s="78"/>
      <c r="J121" s="78"/>
      <c r="K121" s="78"/>
      <c r="L121" s="78"/>
      <c r="M121" s="78">
        <f t="shared" ref="M121" si="12">E121+G121</f>
        <v>84.97999999999999</v>
      </c>
      <c r="N121" s="78" t="s">
        <v>132</v>
      </c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  <c r="BM121" s="78"/>
      <c r="BN121" s="78"/>
      <c r="BO121" s="78"/>
      <c r="BP121" s="78"/>
      <c r="BQ121" s="78"/>
    </row>
    <row r="122" spans="1:69" s="79" customFormat="1">
      <c r="A122" s="74" t="s">
        <v>222</v>
      </c>
      <c r="B122" s="74" t="s">
        <v>223</v>
      </c>
      <c r="C122" s="74" t="s">
        <v>14</v>
      </c>
      <c r="D122" s="75" t="s">
        <v>78</v>
      </c>
      <c r="E122" s="76">
        <f>83.2/2</f>
        <v>41.6</v>
      </c>
      <c r="F122" s="77">
        <v>85</v>
      </c>
      <c r="G122" s="76">
        <f>85/2</f>
        <v>42.5</v>
      </c>
      <c r="H122" s="78"/>
      <c r="I122" s="78"/>
      <c r="J122" s="78"/>
      <c r="K122" s="78"/>
      <c r="L122" s="78"/>
      <c r="M122" s="78">
        <f t="shared" ref="M122:M129" si="13">E122+G122</f>
        <v>84.1</v>
      </c>
      <c r="N122" s="78" t="s">
        <v>132</v>
      </c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8"/>
      <c r="BD122" s="78"/>
      <c r="BE122" s="78"/>
      <c r="BF122" s="78"/>
      <c r="BG122" s="78"/>
      <c r="BH122" s="78"/>
      <c r="BI122" s="78"/>
      <c r="BJ122" s="78"/>
      <c r="BK122" s="78"/>
      <c r="BL122" s="78"/>
      <c r="BM122" s="78"/>
      <c r="BN122" s="78"/>
      <c r="BO122" s="78"/>
      <c r="BP122" s="78"/>
      <c r="BQ122" s="78"/>
    </row>
    <row r="123" spans="1:69" s="79" customFormat="1">
      <c r="A123" s="74" t="s">
        <v>224</v>
      </c>
      <c r="B123" s="74" t="s">
        <v>225</v>
      </c>
      <c r="C123" s="74" t="s">
        <v>14</v>
      </c>
      <c r="D123" s="75" t="s">
        <v>78</v>
      </c>
      <c r="E123" s="76">
        <f>83.2/2</f>
        <v>41.6</v>
      </c>
      <c r="F123" s="77">
        <v>85</v>
      </c>
      <c r="G123" s="76">
        <f>85/2</f>
        <v>42.5</v>
      </c>
      <c r="H123" s="78"/>
      <c r="I123" s="78"/>
      <c r="J123" s="78"/>
      <c r="K123" s="78"/>
      <c r="L123" s="78"/>
      <c r="M123" s="78">
        <f t="shared" si="13"/>
        <v>84.1</v>
      </c>
      <c r="N123" s="78" t="s">
        <v>132</v>
      </c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  <c r="BD123" s="78"/>
      <c r="BE123" s="78"/>
      <c r="BF123" s="78"/>
      <c r="BG123" s="78"/>
      <c r="BH123" s="78"/>
      <c r="BI123" s="78"/>
      <c r="BJ123" s="78"/>
      <c r="BK123" s="78"/>
      <c r="BL123" s="78"/>
      <c r="BM123" s="78"/>
      <c r="BN123" s="78"/>
      <c r="BO123" s="78"/>
      <c r="BP123" s="78"/>
      <c r="BQ123" s="78"/>
    </row>
    <row r="124" spans="1:69" s="79" customFormat="1">
      <c r="A124" s="74" t="s">
        <v>226</v>
      </c>
      <c r="B124" s="74" t="s">
        <v>227</v>
      </c>
      <c r="C124" s="74" t="s">
        <v>14</v>
      </c>
      <c r="D124" s="75" t="s">
        <v>87</v>
      </c>
      <c r="E124" s="76">
        <f>80.63/2</f>
        <v>40.314999999999998</v>
      </c>
      <c r="F124" s="77">
        <v>87.5</v>
      </c>
      <c r="G124" s="76">
        <f>87.5/2</f>
        <v>43.75</v>
      </c>
      <c r="H124" s="78"/>
      <c r="I124" s="78"/>
      <c r="J124" s="78"/>
      <c r="K124" s="78"/>
      <c r="L124" s="78"/>
      <c r="M124" s="78">
        <f t="shared" si="13"/>
        <v>84.064999999999998</v>
      </c>
      <c r="N124" s="78" t="s">
        <v>132</v>
      </c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  <c r="BD124" s="78"/>
      <c r="BE124" s="78"/>
      <c r="BF124" s="78"/>
      <c r="BG124" s="78"/>
      <c r="BH124" s="78"/>
      <c r="BI124" s="78"/>
      <c r="BJ124" s="78"/>
      <c r="BK124" s="78"/>
      <c r="BL124" s="78"/>
      <c r="BM124" s="78"/>
      <c r="BN124" s="78"/>
      <c r="BO124" s="78"/>
      <c r="BP124" s="78"/>
      <c r="BQ124" s="78"/>
    </row>
    <row r="125" spans="1:69" s="79" customFormat="1">
      <c r="A125" s="74" t="s">
        <v>228</v>
      </c>
      <c r="B125" s="74" t="s">
        <v>229</v>
      </c>
      <c r="C125" s="74" t="s">
        <v>14</v>
      </c>
      <c r="D125" s="75" t="s">
        <v>59</v>
      </c>
      <c r="E125" s="76">
        <f>80.16/2</f>
        <v>40.08</v>
      </c>
      <c r="F125" s="77">
        <v>87.5</v>
      </c>
      <c r="G125" s="76">
        <f>87.5/2</f>
        <v>43.75</v>
      </c>
      <c r="H125" s="78"/>
      <c r="I125" s="78"/>
      <c r="J125" s="78"/>
      <c r="K125" s="78"/>
      <c r="L125" s="78"/>
      <c r="M125" s="78">
        <f t="shared" si="13"/>
        <v>83.83</v>
      </c>
      <c r="N125" s="78" t="s">
        <v>132</v>
      </c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8"/>
      <c r="BD125" s="78"/>
      <c r="BE125" s="78"/>
      <c r="BF125" s="78"/>
      <c r="BG125" s="78"/>
      <c r="BH125" s="78"/>
      <c r="BI125" s="78"/>
      <c r="BJ125" s="78"/>
      <c r="BK125" s="78"/>
      <c r="BL125" s="78"/>
      <c r="BM125" s="78"/>
      <c r="BN125" s="78"/>
      <c r="BO125" s="78"/>
      <c r="BP125" s="78"/>
      <c r="BQ125" s="78"/>
    </row>
    <row r="126" spans="1:69" s="79" customFormat="1">
      <c r="A126" s="74" t="s">
        <v>230</v>
      </c>
      <c r="B126" s="74" t="s">
        <v>231</v>
      </c>
      <c r="C126" s="74" t="s">
        <v>14</v>
      </c>
      <c r="D126" s="75" t="s">
        <v>129</v>
      </c>
      <c r="E126" s="76">
        <f>90.2/2</f>
        <v>45.1</v>
      </c>
      <c r="F126" s="77">
        <v>75</v>
      </c>
      <c r="G126" s="76">
        <f>75/2</f>
        <v>37.5</v>
      </c>
      <c r="H126" s="78"/>
      <c r="I126" s="78"/>
      <c r="J126" s="78"/>
      <c r="K126" s="78"/>
      <c r="L126" s="78"/>
      <c r="M126" s="78">
        <f t="shared" si="13"/>
        <v>82.6</v>
      </c>
      <c r="N126" s="78" t="s">
        <v>132</v>
      </c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78"/>
      <c r="BG126" s="78"/>
      <c r="BH126" s="78"/>
      <c r="BI126" s="78"/>
      <c r="BJ126" s="78"/>
      <c r="BK126" s="78"/>
      <c r="BL126" s="78"/>
      <c r="BM126" s="78"/>
      <c r="BN126" s="78"/>
      <c r="BO126" s="78"/>
      <c r="BP126" s="78"/>
      <c r="BQ126" s="78"/>
    </row>
    <row r="127" spans="1:69" s="79" customFormat="1">
      <c r="A127" s="74" t="s">
        <v>232</v>
      </c>
      <c r="B127" s="74" t="s">
        <v>233</v>
      </c>
      <c r="C127" s="74" t="s">
        <v>14</v>
      </c>
      <c r="D127" s="75" t="s">
        <v>128</v>
      </c>
      <c r="E127" s="76">
        <f>85.76/2</f>
        <v>42.88</v>
      </c>
      <c r="F127" s="77">
        <v>72.5</v>
      </c>
      <c r="G127" s="76">
        <f>72.5/2</f>
        <v>36.25</v>
      </c>
      <c r="H127" s="78"/>
      <c r="I127" s="78"/>
      <c r="J127" s="78"/>
      <c r="K127" s="78"/>
      <c r="L127" s="78"/>
      <c r="M127" s="78">
        <f t="shared" si="13"/>
        <v>79.13</v>
      </c>
      <c r="N127" s="78" t="s">
        <v>132</v>
      </c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78"/>
      <c r="BF127" s="78"/>
      <c r="BG127" s="78"/>
      <c r="BH127" s="78"/>
      <c r="BI127" s="78"/>
      <c r="BJ127" s="78"/>
      <c r="BK127" s="78"/>
      <c r="BL127" s="78"/>
      <c r="BM127" s="78"/>
      <c r="BN127" s="78"/>
      <c r="BO127" s="78"/>
      <c r="BP127" s="78"/>
      <c r="BQ127" s="78"/>
    </row>
    <row r="128" spans="1:69" s="79" customFormat="1">
      <c r="A128" s="74" t="s">
        <v>234</v>
      </c>
      <c r="B128" s="74" t="s">
        <v>235</v>
      </c>
      <c r="C128" s="74" t="s">
        <v>14</v>
      </c>
      <c r="D128" s="75" t="s">
        <v>51</v>
      </c>
      <c r="E128" s="76">
        <f>73.63/2</f>
        <v>36.814999999999998</v>
      </c>
      <c r="F128" s="77">
        <v>77.5</v>
      </c>
      <c r="G128" s="76">
        <f>77.5/2</f>
        <v>38.75</v>
      </c>
      <c r="H128" s="78"/>
      <c r="I128" s="78"/>
      <c r="J128" s="78"/>
      <c r="K128" s="78"/>
      <c r="L128" s="78"/>
      <c r="M128" s="78">
        <f t="shared" si="13"/>
        <v>75.564999999999998</v>
      </c>
      <c r="N128" s="78" t="s">
        <v>132</v>
      </c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  <c r="BD128" s="78"/>
      <c r="BE128" s="78"/>
      <c r="BF128" s="78"/>
      <c r="BG128" s="78"/>
      <c r="BH128" s="78"/>
      <c r="BI128" s="78"/>
      <c r="BJ128" s="78"/>
      <c r="BK128" s="78"/>
      <c r="BL128" s="78"/>
      <c r="BM128" s="78"/>
      <c r="BN128" s="78"/>
      <c r="BO128" s="78"/>
      <c r="BP128" s="78"/>
      <c r="BQ128" s="78"/>
    </row>
    <row r="129" spans="1:69" s="79" customFormat="1">
      <c r="A129" s="74" t="s">
        <v>236</v>
      </c>
      <c r="B129" s="74" t="s">
        <v>237</v>
      </c>
      <c r="C129" s="74" t="s">
        <v>14</v>
      </c>
      <c r="D129" s="75" t="s">
        <v>127</v>
      </c>
      <c r="E129" s="76">
        <f>60.33/2</f>
        <v>30.164999999999999</v>
      </c>
      <c r="F129" s="77">
        <v>90</v>
      </c>
      <c r="G129" s="76">
        <f>90/2</f>
        <v>45</v>
      </c>
      <c r="H129" s="78"/>
      <c r="I129" s="78"/>
      <c r="J129" s="78"/>
      <c r="K129" s="78"/>
      <c r="L129" s="78"/>
      <c r="M129" s="78">
        <f t="shared" si="13"/>
        <v>75.164999999999992</v>
      </c>
      <c r="N129" s="78" t="s">
        <v>132</v>
      </c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8"/>
      <c r="BD129" s="78"/>
      <c r="BE129" s="78"/>
      <c r="BF129" s="78"/>
      <c r="BG129" s="78"/>
      <c r="BH129" s="78"/>
      <c r="BI129" s="78"/>
      <c r="BJ129" s="78"/>
      <c r="BK129" s="78"/>
      <c r="BL129" s="78"/>
      <c r="BM129" s="78"/>
      <c r="BN129" s="78"/>
      <c r="BO129" s="78"/>
      <c r="BP129" s="78"/>
      <c r="BQ129" s="78"/>
    </row>
    <row r="130" spans="1:69" s="79" customFormat="1">
      <c r="A130" s="74" t="s">
        <v>238</v>
      </c>
      <c r="B130" s="74" t="s">
        <v>239</v>
      </c>
      <c r="C130" s="74" t="s">
        <v>14</v>
      </c>
      <c r="D130" s="75" t="s">
        <v>38</v>
      </c>
      <c r="E130" s="76">
        <f>77.36/2</f>
        <v>38.68</v>
      </c>
      <c r="F130" s="77">
        <v>72.5</v>
      </c>
      <c r="G130" s="76">
        <f>72.5/2</f>
        <v>36.25</v>
      </c>
      <c r="H130" s="78"/>
      <c r="I130" s="78"/>
      <c r="J130" s="78"/>
      <c r="K130" s="78"/>
      <c r="L130" s="78"/>
      <c r="M130" s="78">
        <f t="shared" ref="M130" si="14">E130+G130</f>
        <v>74.930000000000007</v>
      </c>
      <c r="N130" s="78" t="s">
        <v>132</v>
      </c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  <c r="BB130" s="78"/>
      <c r="BC130" s="78"/>
      <c r="BD130" s="78"/>
      <c r="BE130" s="78"/>
      <c r="BF130" s="78"/>
      <c r="BG130" s="78"/>
      <c r="BH130" s="78"/>
      <c r="BI130" s="78"/>
      <c r="BJ130" s="78"/>
      <c r="BK130" s="78"/>
      <c r="BL130" s="78"/>
      <c r="BM130" s="78"/>
      <c r="BN130" s="78"/>
      <c r="BO130" s="78"/>
      <c r="BP130" s="78"/>
      <c r="BQ130" s="78"/>
    </row>
    <row r="131" spans="1:69" s="79" customFormat="1">
      <c r="A131" s="74" t="s">
        <v>240</v>
      </c>
      <c r="B131" s="74" t="s">
        <v>241</v>
      </c>
      <c r="C131" s="74" t="s">
        <v>14</v>
      </c>
      <c r="D131" s="75" t="s">
        <v>124</v>
      </c>
      <c r="E131" s="76">
        <f>59.86/2</f>
        <v>29.93</v>
      </c>
      <c r="F131" s="77">
        <v>82.5</v>
      </c>
      <c r="G131" s="76">
        <f>82.5/2</f>
        <v>41.25</v>
      </c>
      <c r="H131" s="78"/>
      <c r="I131" s="78"/>
      <c r="J131" s="78"/>
      <c r="K131" s="78"/>
      <c r="L131" s="78"/>
      <c r="M131" s="78">
        <f>E131+G131</f>
        <v>71.180000000000007</v>
      </c>
      <c r="N131" s="78" t="s">
        <v>132</v>
      </c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J131" s="78"/>
      <c r="BK131" s="78"/>
      <c r="BL131" s="78"/>
      <c r="BM131" s="78"/>
      <c r="BN131" s="78"/>
      <c r="BO131" s="78"/>
      <c r="BP131" s="78"/>
      <c r="BQ131" s="78"/>
    </row>
  </sheetData>
  <autoFilter ref="A1:D142">
    <sortState ref="A2:D234">
      <sortCondition ref="C1"/>
    </sortState>
  </autoFilter>
  <sortState ref="A10:BQ10">
    <sortCondition descending="1" ref="M2:M8"/>
  </sortState>
  <pageMargins left="0.7" right="0.7" top="0.75" bottom="0.75" header="0.3" footer="0.3"/>
  <pageSetup paperSize="9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2023-03-30T20:42:12Z</dcterms:modified>
</cp:coreProperties>
</file>