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3EEAAB61-5B06-458F-A5FA-D150B85A99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Sheet1!$A$1:$F$1</definedName>
    <definedName name="BaslaSatir">Sheet1!#REF!</definedName>
    <definedName name="BaslaSatir2">Sheet1!#REF!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6" i="1" l="1"/>
  <c r="E185" i="1"/>
  <c r="E183" i="1"/>
  <c r="E184" i="1"/>
  <c r="E182" i="1"/>
  <c r="E187" i="1"/>
  <c r="E181" i="1"/>
  <c r="G114" i="1"/>
  <c r="E114" i="1"/>
  <c r="G115" i="1"/>
  <c r="E115" i="1"/>
  <c r="O115" i="1" l="1"/>
  <c r="O114" i="1"/>
  <c r="E61" i="1"/>
  <c r="G184" i="1"/>
  <c r="O184" i="1" s="1"/>
  <c r="G187" i="1"/>
  <c r="O187" i="1" s="1"/>
  <c r="G182" i="1"/>
  <c r="O182" i="1" s="1"/>
  <c r="G183" i="1"/>
  <c r="G185" i="1"/>
  <c r="G186" i="1"/>
  <c r="G181" i="1"/>
  <c r="O181" i="1" s="1"/>
  <c r="G180" i="1"/>
  <c r="G178" i="1"/>
  <c r="G170" i="1"/>
  <c r="G177" i="1"/>
  <c r="G173" i="1"/>
  <c r="G175" i="1"/>
  <c r="G179" i="1"/>
  <c r="G174" i="1"/>
  <c r="G171" i="1"/>
  <c r="G176" i="1"/>
  <c r="G172" i="1"/>
  <c r="G165" i="1"/>
  <c r="G169" i="1"/>
  <c r="G166" i="1"/>
  <c r="G167" i="1"/>
  <c r="G168" i="1"/>
  <c r="G164" i="1"/>
  <c r="G162" i="1"/>
  <c r="G157" i="1"/>
  <c r="G156" i="1"/>
  <c r="G150" i="1"/>
  <c r="G158" i="1"/>
  <c r="G152" i="1"/>
  <c r="G161" i="1"/>
  <c r="G159" i="1"/>
  <c r="G160" i="1"/>
  <c r="G154" i="1"/>
  <c r="G153" i="1"/>
  <c r="G163" i="1"/>
  <c r="G151" i="1"/>
  <c r="G155" i="1"/>
  <c r="G147" i="1"/>
  <c r="G149" i="1"/>
  <c r="G148" i="1"/>
  <c r="G128" i="1"/>
  <c r="G135" i="1"/>
  <c r="G133" i="1"/>
  <c r="G142" i="1"/>
  <c r="G131" i="1"/>
  <c r="G145" i="1"/>
  <c r="G123" i="1"/>
  <c r="G143" i="1"/>
  <c r="G146" i="1"/>
  <c r="G124" i="1"/>
  <c r="G129" i="1"/>
  <c r="G134" i="1"/>
  <c r="G136" i="1"/>
  <c r="G121" i="1"/>
  <c r="G138" i="1"/>
  <c r="G137" i="1"/>
  <c r="G126" i="1"/>
  <c r="G122" i="1"/>
  <c r="G141" i="1"/>
  <c r="G127" i="1"/>
  <c r="G144" i="1"/>
  <c r="G140" i="1"/>
  <c r="G130" i="1"/>
  <c r="G125" i="1"/>
  <c r="G132" i="1"/>
  <c r="G139" i="1"/>
  <c r="G120" i="1"/>
  <c r="G118" i="1"/>
  <c r="G117" i="1"/>
  <c r="G119" i="1"/>
  <c r="G116" i="1"/>
  <c r="G106" i="1"/>
  <c r="G101" i="1"/>
  <c r="G109" i="1"/>
  <c r="G103" i="1"/>
  <c r="G104" i="1"/>
  <c r="G111" i="1"/>
  <c r="G102" i="1"/>
  <c r="G113" i="1"/>
  <c r="G107" i="1"/>
  <c r="G108" i="1"/>
  <c r="G105" i="1"/>
  <c r="G112" i="1"/>
  <c r="G100" i="1"/>
  <c r="G110" i="1"/>
  <c r="G88" i="1"/>
  <c r="G94" i="1"/>
  <c r="G93" i="1"/>
  <c r="G90" i="1"/>
  <c r="G99" i="1"/>
  <c r="G91" i="1"/>
  <c r="G92" i="1"/>
  <c r="G96" i="1"/>
  <c r="G97" i="1"/>
  <c r="G95" i="1"/>
  <c r="G98" i="1"/>
  <c r="G89" i="1"/>
  <c r="G80" i="1"/>
  <c r="G77" i="1"/>
  <c r="G85" i="1"/>
  <c r="G78" i="1"/>
  <c r="G84" i="1"/>
  <c r="G81" i="1"/>
  <c r="G82" i="1"/>
  <c r="G86" i="1"/>
  <c r="G79" i="1"/>
  <c r="G83" i="1"/>
  <c r="G87" i="1"/>
  <c r="G70" i="1"/>
  <c r="G71" i="1"/>
  <c r="G75" i="1"/>
  <c r="G69" i="1"/>
  <c r="G76" i="1"/>
  <c r="G74" i="1"/>
  <c r="G72" i="1"/>
  <c r="G73" i="1"/>
  <c r="G64" i="1"/>
  <c r="G63" i="1"/>
  <c r="G65" i="1"/>
  <c r="G67" i="1"/>
  <c r="G66" i="1"/>
  <c r="G68" i="1"/>
  <c r="G62" i="1"/>
  <c r="G51" i="1"/>
  <c r="G55" i="1"/>
  <c r="G57" i="1"/>
  <c r="G58" i="1"/>
  <c r="G59" i="1"/>
  <c r="G52" i="1"/>
  <c r="G60" i="1"/>
  <c r="G56" i="1"/>
  <c r="G53" i="1"/>
  <c r="G61" i="1"/>
  <c r="G54" i="1"/>
  <c r="G45" i="1"/>
  <c r="G50" i="1"/>
  <c r="G46" i="1"/>
  <c r="G49" i="1"/>
  <c r="G42" i="1"/>
  <c r="G47" i="1"/>
  <c r="G48" i="1"/>
  <c r="G43" i="1"/>
  <c r="G44" i="1"/>
  <c r="G41" i="1"/>
  <c r="G39" i="1"/>
  <c r="G38" i="1"/>
  <c r="G37" i="1"/>
  <c r="G36" i="1"/>
  <c r="G40" i="1"/>
  <c r="G17" i="1"/>
  <c r="G31" i="1"/>
  <c r="G25" i="1"/>
  <c r="G29" i="1"/>
  <c r="G18" i="1"/>
  <c r="G19" i="1"/>
  <c r="G34" i="1"/>
  <c r="G21" i="1"/>
  <c r="G28" i="1"/>
  <c r="G32" i="1"/>
  <c r="G24" i="1"/>
  <c r="G33" i="1"/>
  <c r="G35" i="1"/>
  <c r="G16" i="1"/>
  <c r="G27" i="1"/>
  <c r="G20" i="1"/>
  <c r="G22" i="1"/>
  <c r="G23" i="1"/>
  <c r="G26" i="1"/>
  <c r="G30" i="1"/>
  <c r="G15" i="1"/>
  <c r="G8" i="1"/>
  <c r="G10" i="1"/>
  <c r="G14" i="1"/>
  <c r="G11" i="1"/>
  <c r="G13" i="1"/>
  <c r="G9" i="1"/>
  <c r="G7" i="1"/>
  <c r="G12" i="1"/>
  <c r="G4" i="1"/>
  <c r="G5" i="1"/>
  <c r="G2" i="1"/>
  <c r="G3" i="1"/>
  <c r="G6" i="1"/>
  <c r="E180" i="1"/>
  <c r="E178" i="1"/>
  <c r="E170" i="1"/>
  <c r="E177" i="1"/>
  <c r="E173" i="1"/>
  <c r="E175" i="1"/>
  <c r="E179" i="1"/>
  <c r="E174" i="1"/>
  <c r="E171" i="1"/>
  <c r="E176" i="1"/>
  <c r="E172" i="1"/>
  <c r="E165" i="1"/>
  <c r="E169" i="1"/>
  <c r="E166" i="1"/>
  <c r="E167" i="1"/>
  <c r="E168" i="1"/>
  <c r="E164" i="1"/>
  <c r="E162" i="1"/>
  <c r="E157" i="1"/>
  <c r="E156" i="1"/>
  <c r="E150" i="1"/>
  <c r="E158" i="1"/>
  <c r="E152" i="1"/>
  <c r="E161" i="1"/>
  <c r="E159" i="1"/>
  <c r="E160" i="1"/>
  <c r="E154" i="1"/>
  <c r="E153" i="1"/>
  <c r="E163" i="1"/>
  <c r="E151" i="1"/>
  <c r="E155" i="1"/>
  <c r="E147" i="1"/>
  <c r="E149" i="1"/>
  <c r="E148" i="1"/>
  <c r="E128" i="1"/>
  <c r="E135" i="1"/>
  <c r="E133" i="1"/>
  <c r="E142" i="1"/>
  <c r="E131" i="1"/>
  <c r="E145" i="1"/>
  <c r="E123" i="1"/>
  <c r="E143" i="1"/>
  <c r="E146" i="1"/>
  <c r="E124" i="1"/>
  <c r="E129" i="1"/>
  <c r="E134" i="1"/>
  <c r="E136" i="1"/>
  <c r="E121" i="1"/>
  <c r="E138" i="1"/>
  <c r="E137" i="1"/>
  <c r="E126" i="1"/>
  <c r="E122" i="1"/>
  <c r="E141" i="1"/>
  <c r="E127" i="1"/>
  <c r="E144" i="1"/>
  <c r="E140" i="1"/>
  <c r="E130" i="1"/>
  <c r="E125" i="1"/>
  <c r="E132" i="1"/>
  <c r="E139" i="1"/>
  <c r="E120" i="1"/>
  <c r="E118" i="1"/>
  <c r="E117" i="1"/>
  <c r="E119" i="1"/>
  <c r="E116" i="1"/>
  <c r="E106" i="1"/>
  <c r="E101" i="1"/>
  <c r="E109" i="1"/>
  <c r="E103" i="1"/>
  <c r="E104" i="1"/>
  <c r="E111" i="1"/>
  <c r="E102" i="1"/>
  <c r="E113" i="1"/>
  <c r="E107" i="1"/>
  <c r="E108" i="1"/>
  <c r="E105" i="1"/>
  <c r="E112" i="1"/>
  <c r="E100" i="1"/>
  <c r="E110" i="1"/>
  <c r="E88" i="1"/>
  <c r="E94" i="1"/>
  <c r="E93" i="1"/>
  <c r="E90" i="1"/>
  <c r="E99" i="1"/>
  <c r="E91" i="1"/>
  <c r="E92" i="1"/>
  <c r="E96" i="1"/>
  <c r="E97" i="1"/>
  <c r="E95" i="1"/>
  <c r="E98" i="1"/>
  <c r="E89" i="1"/>
  <c r="E80" i="1"/>
  <c r="E77" i="1"/>
  <c r="E85" i="1"/>
  <c r="E78" i="1"/>
  <c r="E84" i="1"/>
  <c r="E81" i="1"/>
  <c r="E82" i="1"/>
  <c r="E86" i="1"/>
  <c r="E79" i="1"/>
  <c r="E83" i="1"/>
  <c r="E87" i="1"/>
  <c r="E70" i="1"/>
  <c r="E71" i="1"/>
  <c r="E75" i="1"/>
  <c r="E69" i="1"/>
  <c r="E76" i="1"/>
  <c r="E74" i="1"/>
  <c r="E72" i="1"/>
  <c r="E73" i="1"/>
  <c r="E64" i="1"/>
  <c r="E63" i="1"/>
  <c r="E65" i="1"/>
  <c r="E67" i="1"/>
  <c r="E66" i="1"/>
  <c r="E68" i="1"/>
  <c r="E62" i="1"/>
  <c r="E51" i="1"/>
  <c r="E55" i="1"/>
  <c r="E57" i="1"/>
  <c r="E58" i="1"/>
  <c r="E59" i="1"/>
  <c r="E52" i="1"/>
  <c r="E60" i="1"/>
  <c r="E56" i="1"/>
  <c r="E53" i="1"/>
  <c r="E54" i="1"/>
  <c r="E45" i="1"/>
  <c r="E50" i="1"/>
  <c r="E46" i="1"/>
  <c r="E49" i="1"/>
  <c r="E42" i="1"/>
  <c r="E47" i="1"/>
  <c r="E48" i="1"/>
  <c r="E43" i="1"/>
  <c r="E44" i="1"/>
  <c r="E41" i="1"/>
  <c r="E39" i="1"/>
  <c r="E38" i="1"/>
  <c r="E37" i="1"/>
  <c r="E36" i="1"/>
  <c r="E40" i="1"/>
  <c r="E17" i="1"/>
  <c r="E31" i="1"/>
  <c r="E25" i="1"/>
  <c r="E29" i="1"/>
  <c r="E18" i="1"/>
  <c r="E19" i="1"/>
  <c r="E34" i="1"/>
  <c r="E21" i="1"/>
  <c r="E28" i="1"/>
  <c r="E32" i="1"/>
  <c r="E24" i="1"/>
  <c r="E33" i="1"/>
  <c r="E35" i="1"/>
  <c r="E16" i="1"/>
  <c r="E27" i="1"/>
  <c r="E20" i="1"/>
  <c r="E22" i="1"/>
  <c r="E23" i="1"/>
  <c r="E26" i="1"/>
  <c r="E30" i="1"/>
  <c r="E15" i="1"/>
  <c r="E8" i="1"/>
  <c r="E10" i="1"/>
  <c r="E14" i="1"/>
  <c r="E11" i="1"/>
  <c r="E13" i="1"/>
  <c r="E9" i="1"/>
  <c r="E7" i="1"/>
  <c r="E12" i="1"/>
  <c r="E4" i="1"/>
  <c r="E5" i="1"/>
  <c r="E2" i="1"/>
  <c r="E3" i="1"/>
  <c r="E6" i="1"/>
  <c r="O56" i="1" l="1"/>
  <c r="O2" i="1"/>
  <c r="O7" i="1"/>
  <c r="O14" i="1"/>
  <c r="O30" i="1"/>
  <c r="O20" i="1"/>
  <c r="O33" i="1"/>
  <c r="O21" i="1"/>
  <c r="O29" i="1"/>
  <c r="O40" i="1"/>
  <c r="O39" i="1"/>
  <c r="O48" i="1"/>
  <c r="O46" i="1"/>
  <c r="O63" i="1"/>
  <c r="O60" i="1"/>
  <c r="O57" i="1"/>
  <c r="O68" i="1"/>
  <c r="O74" i="1"/>
  <c r="O71" i="1"/>
  <c r="O79" i="1"/>
  <c r="O84" i="1"/>
  <c r="O80" i="1"/>
  <c r="O97" i="1"/>
  <c r="O99" i="1"/>
  <c r="O88" i="1"/>
  <c r="O3" i="1"/>
  <c r="O12" i="1"/>
  <c r="O11" i="1"/>
  <c r="O15" i="1"/>
  <c r="O22" i="1"/>
  <c r="O35" i="1"/>
  <c r="O28" i="1"/>
  <c r="O18" i="1"/>
  <c r="O17" i="1"/>
  <c r="O38" i="1"/>
  <c r="O43" i="1"/>
  <c r="O49" i="1"/>
  <c r="O54" i="1"/>
  <c r="O52" i="1"/>
  <c r="O55" i="1"/>
  <c r="O66" i="1"/>
  <c r="O64" i="1"/>
  <c r="O76" i="1"/>
  <c r="O70" i="1"/>
  <c r="O86" i="1"/>
  <c r="O78" i="1"/>
  <c r="O89" i="1"/>
  <c r="O96" i="1"/>
  <c r="O90" i="1"/>
  <c r="O110" i="1"/>
  <c r="O108" i="1"/>
  <c r="O111" i="1"/>
  <c r="O101" i="1"/>
  <c r="O119" i="1"/>
  <c r="O120" i="1"/>
  <c r="O130" i="1"/>
  <c r="O141" i="1"/>
  <c r="O138" i="1"/>
  <c r="O129" i="1"/>
  <c r="O123" i="1"/>
  <c r="O133" i="1"/>
  <c r="O149" i="1"/>
  <c r="O163" i="1"/>
  <c r="O159" i="1"/>
  <c r="O150" i="1"/>
  <c r="O164" i="1"/>
  <c r="O169" i="1"/>
  <c r="O171" i="1"/>
  <c r="O173" i="1"/>
  <c r="O180" i="1"/>
  <c r="O183" i="1"/>
  <c r="O58" i="1"/>
  <c r="O62" i="1"/>
  <c r="O65" i="1"/>
  <c r="O72" i="1"/>
  <c r="O75" i="1"/>
  <c r="O83" i="1"/>
  <c r="O81" i="1"/>
  <c r="O77" i="1"/>
  <c r="O95" i="1"/>
  <c r="O91" i="1"/>
  <c r="O94" i="1"/>
  <c r="O112" i="1"/>
  <c r="O113" i="1"/>
  <c r="O103" i="1"/>
  <c r="O117" i="1"/>
  <c r="O132" i="1"/>
  <c r="O144" i="1"/>
  <c r="O126" i="1"/>
  <c r="O136" i="1"/>
  <c r="O146" i="1"/>
  <c r="O131" i="1"/>
  <c r="O128" i="1"/>
  <c r="O155" i="1"/>
  <c r="O154" i="1"/>
  <c r="O152" i="1"/>
  <c r="O157" i="1"/>
  <c r="O167" i="1"/>
  <c r="O172" i="1"/>
  <c r="O170" i="1"/>
  <c r="O186" i="1"/>
  <c r="O179" i="1"/>
  <c r="O61" i="1"/>
  <c r="O6" i="1"/>
  <c r="O4" i="1"/>
  <c r="O13" i="1"/>
  <c r="O8" i="1"/>
  <c r="O23" i="1"/>
  <c r="O16" i="1"/>
  <c r="O32" i="1"/>
  <c r="O19" i="1"/>
  <c r="O31" i="1"/>
  <c r="O37" i="1"/>
  <c r="O44" i="1"/>
  <c r="O42" i="1"/>
  <c r="O45" i="1"/>
  <c r="O105" i="1"/>
  <c r="O102" i="1"/>
  <c r="O109" i="1"/>
  <c r="O116" i="1"/>
  <c r="O118" i="1"/>
  <c r="O125" i="1"/>
  <c r="O127" i="1"/>
  <c r="O137" i="1"/>
  <c r="O134" i="1"/>
  <c r="O143" i="1"/>
  <c r="O142" i="1"/>
  <c r="O148" i="1"/>
  <c r="O151" i="1"/>
  <c r="O160" i="1"/>
  <c r="O158" i="1"/>
  <c r="O162" i="1"/>
  <c r="O166" i="1"/>
  <c r="O176" i="1"/>
  <c r="O175" i="1"/>
  <c r="O178" i="1"/>
  <c r="O185" i="1"/>
  <c r="O5" i="1"/>
  <c r="O9" i="1"/>
  <c r="O10" i="1"/>
  <c r="O26" i="1"/>
  <c r="O27" i="1"/>
  <c r="O24" i="1"/>
  <c r="O34" i="1"/>
  <c r="O25" i="1"/>
  <c r="O36" i="1"/>
  <c r="O41" i="1"/>
  <c r="O47" i="1"/>
  <c r="O50" i="1"/>
  <c r="O53" i="1"/>
  <c r="O59" i="1"/>
  <c r="O51" i="1"/>
  <c r="O67" i="1"/>
  <c r="O73" i="1"/>
  <c r="O69" i="1"/>
  <c r="O87" i="1"/>
  <c r="O82" i="1"/>
  <c r="O85" i="1"/>
  <c r="O98" i="1"/>
  <c r="O92" i="1"/>
  <c r="O93" i="1"/>
  <c r="O100" i="1"/>
  <c r="O107" i="1"/>
  <c r="O104" i="1"/>
  <c r="O106" i="1"/>
  <c r="O139" i="1"/>
  <c r="O140" i="1"/>
  <c r="O122" i="1"/>
  <c r="O121" i="1"/>
  <c r="O124" i="1"/>
  <c r="O145" i="1"/>
  <c r="O135" i="1"/>
  <c r="O147" i="1"/>
  <c r="O153" i="1"/>
  <c r="O161" i="1"/>
  <c r="O156" i="1"/>
  <c r="O168" i="1"/>
  <c r="O165" i="1"/>
  <c r="O174" i="1"/>
  <c r="O177" i="1"/>
</calcChain>
</file>

<file path=xl/sharedStrings.xml><?xml version="1.0" encoding="utf-8"?>
<sst xmlns="http://schemas.openxmlformats.org/spreadsheetml/2006/main" count="962" uniqueCount="528">
  <si>
    <t>Ad Soyad</t>
  </si>
  <si>
    <t>Fakülte</t>
  </si>
  <si>
    <t>Not Ortalaması</t>
  </si>
  <si>
    <t>Oğrenci No</t>
  </si>
  <si>
    <t>Yabancı Dil Puanları</t>
  </si>
  <si>
    <t>GÜLHANE FİZYOTERAPİ VE REHABİLİTASYON FAKÜLTESİ</t>
  </si>
  <si>
    <t>HAMİDİYE HEMŞİRELİK FAKÜLTESİ</t>
  </si>
  <si>
    <t>HAMİDİYE SAĞLIK BİLİMLERİ ENSTİTÜSÜ</t>
  </si>
  <si>
    <t>GÜLHANE HEMŞİRELİK FAKÜLTESİ</t>
  </si>
  <si>
    <t>HAMİDİYE YAŞAM BİLİMLERİ FAKÜLTESİ</t>
  </si>
  <si>
    <t>HAMİDİYE DİŞ HEKİMLİĞİ FAKÜLTESİ</t>
  </si>
  <si>
    <t>GÜLHANE SAĞLIK MESLEK YÜKSEKOKULU (ANKARA)</t>
  </si>
  <si>
    <t>GÜLHANE DİŞ HEKİMLİĞİ FAKÜLTESİ (ANKARA)</t>
  </si>
  <si>
    <t>GÜLHANE TIP FAKÜLTESİ</t>
  </si>
  <si>
    <t>HAMİDİYE TIP FAKÜLTESİ</t>
  </si>
  <si>
    <t>GÜLHANE ECZACILIK FAKÜLTESİ</t>
  </si>
  <si>
    <t>İSTANBUL BAKIRKÖY PROF. DR. MAZHAR OSMAN RUH SAĞLIĞI VE SİNİR HASTALIKLARI SAĞLIK UYGULAMA VE ARAŞTIRMA MERKEZİ</t>
  </si>
  <si>
    <t>GÜLHANE SAĞLIK BİLİMLERİ FAKÜLTESİ</t>
  </si>
  <si>
    <t>HAMİDİYE ECZACILIK FAKÜLTESİ</t>
  </si>
  <si>
    <t>HAMİDİYE ULUSLARARASI TIP FAKÜLTESİ</t>
  </si>
  <si>
    <t>HAMİDİYE SAĞLIK BİLİMLERİ FAKÜLTESİ</t>
  </si>
  <si>
    <t>İSTANBUL ŞİŞLİ HAMİDİYE ETFAL SAĞLIK UYGULAMA VE ARAŞTIRMA MERKEZİ</t>
  </si>
  <si>
    <t>HAMİDİYE SAĞLIK HİZMETLERİ MESLEK YÜKSEKOKULU (İSTANBUL)</t>
  </si>
  <si>
    <t>İZMİR TIP FAKÜLTESİ</t>
  </si>
  <si>
    <t>İZMİR TEPECİK SAĞLIK UYGULAMA VE ARAŞTIRMA MERKEZİ</t>
  </si>
  <si>
    <t>GÜLHANE SAĞLIK BİLİMLERİ ENSTİTÜSÜ</t>
  </si>
  <si>
    <t>İSTANBUL BAŞAKŞEHİR ÇAM VE SAKURA ŞEHİR SAĞLIK UYGULAMA VE ARAŞTIRMA MERKEZİ</t>
  </si>
  <si>
    <t>İSTANBUL HASEKİ SAĞLIK UYGULAMA VE ARAŞTIRMA MERKEZİ</t>
  </si>
  <si>
    <t xml:space="preserve">Yabancı Dil %50 </t>
  </si>
  <si>
    <t>Not Ortalama %50</t>
  </si>
  <si>
    <t>Kabul Mektubu</t>
  </si>
  <si>
    <t xml:space="preserve">Depremzede </t>
  </si>
  <si>
    <t>Şehit/Gazi Yakınlığı</t>
  </si>
  <si>
    <t>Engellilik</t>
  </si>
  <si>
    <t>Daha Önce Yararlanma</t>
  </si>
  <si>
    <t>DOT Dijital Özellikleri Geliştirme</t>
  </si>
  <si>
    <t>Nihai Puan</t>
  </si>
  <si>
    <t>Durum</t>
  </si>
  <si>
    <t>Devlet Koruması</t>
  </si>
  <si>
    <t xml:space="preserve">81.56 </t>
  </si>
  <si>
    <t xml:space="preserve">86.00 </t>
  </si>
  <si>
    <t xml:space="preserve">82.50 </t>
  </si>
  <si>
    <t xml:space="preserve">84.36 </t>
  </si>
  <si>
    <t xml:space="preserve">79.00 </t>
  </si>
  <si>
    <t xml:space="preserve">76.66 </t>
  </si>
  <si>
    <t xml:space="preserve">96.96 </t>
  </si>
  <si>
    <t xml:space="preserve">79.93 </t>
  </si>
  <si>
    <t xml:space="preserve">80.86 </t>
  </si>
  <si>
    <t xml:space="preserve">82.96 </t>
  </si>
  <si>
    <t xml:space="preserve">82.26 </t>
  </si>
  <si>
    <t xml:space="preserve">88.80 </t>
  </si>
  <si>
    <t xml:space="preserve">92.30 </t>
  </si>
  <si>
    <t xml:space="preserve">60.80 </t>
  </si>
  <si>
    <t xml:space="preserve">71.53 </t>
  </si>
  <si>
    <t xml:space="preserve">71.76 </t>
  </si>
  <si>
    <t xml:space="preserve">73.40 </t>
  </si>
  <si>
    <t xml:space="preserve">83.90 </t>
  </si>
  <si>
    <t>92.06</t>
  </si>
  <si>
    <t xml:space="preserve">63.60 </t>
  </si>
  <si>
    <t>67.80</t>
  </si>
  <si>
    <t xml:space="preserve">78.53 </t>
  </si>
  <si>
    <t xml:space="preserve">74.80 </t>
  </si>
  <si>
    <t xml:space="preserve">85.76 </t>
  </si>
  <si>
    <t xml:space="preserve">77.83 </t>
  </si>
  <si>
    <t xml:space="preserve">79.70 </t>
  </si>
  <si>
    <t xml:space="preserve">94.86 </t>
  </si>
  <si>
    <t xml:space="preserve">86.93 </t>
  </si>
  <si>
    <t xml:space="preserve">80.40 </t>
  </si>
  <si>
    <t xml:space="preserve">82.03 </t>
  </si>
  <si>
    <t xml:space="preserve">74.10 </t>
  </si>
  <si>
    <t xml:space="preserve">89.26 </t>
  </si>
  <si>
    <t xml:space="preserve">93.23 </t>
  </si>
  <si>
    <t xml:space="preserve">95.56 </t>
  </si>
  <si>
    <t xml:space="preserve">82.73 </t>
  </si>
  <si>
    <t xml:space="preserve">100.00 </t>
  </si>
  <si>
    <t xml:space="preserve">95.80 </t>
  </si>
  <si>
    <t xml:space="preserve">99.06 </t>
  </si>
  <si>
    <t xml:space="preserve">98.60 </t>
  </si>
  <si>
    <t>99.53</t>
  </si>
  <si>
    <t xml:space="preserve">90.43 </t>
  </si>
  <si>
    <t xml:space="preserve">83.43 </t>
  </si>
  <si>
    <t xml:space="preserve">92.53 </t>
  </si>
  <si>
    <t xml:space="preserve">67.10 </t>
  </si>
  <si>
    <t xml:space="preserve">76.43 </t>
  </si>
  <si>
    <t xml:space="preserve">80.16 </t>
  </si>
  <si>
    <t xml:space="preserve">87.86 </t>
  </si>
  <si>
    <t xml:space="preserve">81.80 </t>
  </si>
  <si>
    <t xml:space="preserve">91.83 </t>
  </si>
  <si>
    <t xml:space="preserve">90.20 </t>
  </si>
  <si>
    <t xml:space="preserve">65.23 </t>
  </si>
  <si>
    <t xml:space="preserve">75.03 </t>
  </si>
  <si>
    <t xml:space="preserve">60.56 </t>
  </si>
  <si>
    <t xml:space="preserve">77.60 </t>
  </si>
  <si>
    <t xml:space="preserve">92.06 </t>
  </si>
  <si>
    <t xml:space="preserve">85.30 </t>
  </si>
  <si>
    <t>81.80</t>
  </si>
  <si>
    <t xml:space="preserve">70.83 </t>
  </si>
  <si>
    <t xml:space="preserve">65.70 </t>
  </si>
  <si>
    <t xml:space="preserve">74.56 </t>
  </si>
  <si>
    <t xml:space="preserve">58.23 </t>
  </si>
  <si>
    <t>80.16</t>
  </si>
  <si>
    <t xml:space="preserve">79.23 </t>
  </si>
  <si>
    <t xml:space="preserve">96.26 </t>
  </si>
  <si>
    <t xml:space="preserve">64.30 </t>
  </si>
  <si>
    <t xml:space="preserve">81.33 </t>
  </si>
  <si>
    <t>80.86</t>
  </si>
  <si>
    <t xml:space="preserve">81.10 </t>
  </si>
  <si>
    <t>82.73</t>
  </si>
  <si>
    <t xml:space="preserve">78.06 </t>
  </si>
  <si>
    <t xml:space="preserve">86.23 </t>
  </si>
  <si>
    <t>88.80</t>
  </si>
  <si>
    <t>78.53</t>
  </si>
  <si>
    <t>75.73</t>
  </si>
  <si>
    <t>78.76</t>
  </si>
  <si>
    <t>90.90</t>
  </si>
  <si>
    <t>65.70</t>
  </si>
  <si>
    <t>82.26</t>
  </si>
  <si>
    <t xml:space="preserve">85.06 </t>
  </si>
  <si>
    <t xml:space="preserve">72.23 </t>
  </si>
  <si>
    <t xml:space="preserve">93.46 </t>
  </si>
  <si>
    <t xml:space="preserve">66.16 </t>
  </si>
  <si>
    <t>72.23</t>
  </si>
  <si>
    <t>88.10</t>
  </si>
  <si>
    <t>88.33</t>
  </si>
  <si>
    <t>76.90</t>
  </si>
  <si>
    <t xml:space="preserve">90.90 </t>
  </si>
  <si>
    <t>94.40</t>
  </si>
  <si>
    <t xml:space="preserve">77.13 </t>
  </si>
  <si>
    <t>96.03</t>
  </si>
  <si>
    <t xml:space="preserve">96.03 </t>
  </si>
  <si>
    <t>98.36</t>
  </si>
  <si>
    <t>85.53</t>
  </si>
  <si>
    <t>86.00</t>
  </si>
  <si>
    <t xml:space="preserve">87.40 </t>
  </si>
  <si>
    <t xml:space="preserve">91.36 </t>
  </si>
  <si>
    <t>88.56</t>
  </si>
  <si>
    <t>84.13</t>
  </si>
  <si>
    <t xml:space="preserve">87.16 </t>
  </si>
  <si>
    <t xml:space="preserve">67.56 </t>
  </si>
  <si>
    <t>82.03</t>
  </si>
  <si>
    <t>93.70</t>
  </si>
  <si>
    <t>68.03</t>
  </si>
  <si>
    <t>87.63</t>
  </si>
  <si>
    <t>85.06</t>
  </si>
  <si>
    <t>79.00</t>
  </si>
  <si>
    <t xml:space="preserve">84.60 </t>
  </si>
  <si>
    <t>76.20</t>
  </si>
  <si>
    <t xml:space="preserve">73.16 </t>
  </si>
  <si>
    <t>91.36</t>
  </si>
  <si>
    <t xml:space="preserve">89.50 </t>
  </si>
  <si>
    <t>86.70</t>
  </si>
  <si>
    <t>85.76</t>
  </si>
  <si>
    <t xml:space="preserve">98.36 </t>
  </si>
  <si>
    <t xml:space="preserve">70.36 </t>
  </si>
  <si>
    <t>79.23</t>
  </si>
  <si>
    <t>73.16</t>
  </si>
  <si>
    <t>68.96</t>
  </si>
  <si>
    <t xml:space="preserve">73.63 </t>
  </si>
  <si>
    <t xml:space="preserve">89.96 </t>
  </si>
  <si>
    <t xml:space="preserve">91.13 </t>
  </si>
  <si>
    <t xml:space="preserve">75.26 </t>
  </si>
  <si>
    <t>85.30</t>
  </si>
  <si>
    <t>76.43</t>
  </si>
  <si>
    <t>86.25</t>
  </si>
  <si>
    <t>70.00</t>
  </si>
  <si>
    <t>73.75</t>
  </si>
  <si>
    <t>75.00</t>
  </si>
  <si>
    <t>72.50</t>
  </si>
  <si>
    <t>92.5</t>
  </si>
  <si>
    <t>77.50</t>
  </si>
  <si>
    <t>96.25</t>
  </si>
  <si>
    <t>80.00</t>
  </si>
  <si>
    <t>71.25</t>
  </si>
  <si>
    <t>81.25</t>
  </si>
  <si>
    <t xml:space="preserve">77.50 </t>
  </si>
  <si>
    <t>91.25</t>
  </si>
  <si>
    <t>Tıpta Uzmanlık</t>
  </si>
  <si>
    <t>97.5</t>
  </si>
  <si>
    <t xml:space="preserve">YEDEK </t>
  </si>
  <si>
    <t>ASIL</t>
  </si>
  <si>
    <t>71.76</t>
  </si>
  <si>
    <t>80.13</t>
  </si>
  <si>
    <t>D*** ER***</t>
  </si>
  <si>
    <t>201***1069</t>
  </si>
  <si>
    <t>C*** BE***</t>
  </si>
  <si>
    <t>211***1130</t>
  </si>
  <si>
    <t>Z*** AL***</t>
  </si>
  <si>
    <t>201***1075</t>
  </si>
  <si>
    <t>D*** SE***</t>
  </si>
  <si>
    <t>221***1096</t>
  </si>
  <si>
    <t>A*** BA***</t>
  </si>
  <si>
    <t>191***042</t>
  </si>
  <si>
    <t>B*** İZ***</t>
  </si>
  <si>
    <t>211***1803</t>
  </si>
  <si>
    <t>S*** TA***</t>
  </si>
  <si>
    <t>201***1064</t>
  </si>
  <si>
    <t>B*** AY***</t>
  </si>
  <si>
    <t>211***1601</t>
  </si>
  <si>
    <t>Ö*** N*** SA***</t>
  </si>
  <si>
    <t>191***001</t>
  </si>
  <si>
    <t>H*** B*** YÜ***</t>
  </si>
  <si>
    <t>191***052</t>
  </si>
  <si>
    <t>A*** M*** AK***</t>
  </si>
  <si>
    <t>191***054</t>
  </si>
  <si>
    <t>B*** KI***</t>
  </si>
  <si>
    <t>191***014</t>
  </si>
  <si>
    <t>M*** N*** ÇE***</t>
  </si>
  <si>
    <t>191***031</t>
  </si>
  <si>
    <t>S*** ÖZ***</t>
  </si>
  <si>
    <t>201***1096</t>
  </si>
  <si>
    <t>E*** ÇE***</t>
  </si>
  <si>
    <t>191***063</t>
  </si>
  <si>
    <t>Z*** S*** TO***</t>
  </si>
  <si>
    <t>191***060</t>
  </si>
  <si>
    <t>M*** S*** YI***</t>
  </si>
  <si>
    <t>191***011</t>
  </si>
  <si>
    <t>M*** A*** AC***</t>
  </si>
  <si>
    <t>191***039</t>
  </si>
  <si>
    <t>B*** Z*** ŞA***</t>
  </si>
  <si>
    <t>191***021</t>
  </si>
  <si>
    <t>K*** KE***</t>
  </si>
  <si>
    <t>201***5033</t>
  </si>
  <si>
    <t>B*** N*** YE***</t>
  </si>
  <si>
    <t>213***1055</t>
  </si>
  <si>
    <t>A*** AK***</t>
  </si>
  <si>
    <t>191***050</t>
  </si>
  <si>
    <t>G*** ÖZ***</t>
  </si>
  <si>
    <t>191***028</t>
  </si>
  <si>
    <t>S*** B*** ÖZ***</t>
  </si>
  <si>
    <t>201***5045</t>
  </si>
  <si>
    <t>A*** BÜ***</t>
  </si>
  <si>
    <t>191***032</t>
  </si>
  <si>
    <t>D*** M*** ES***</t>
  </si>
  <si>
    <t>201***5021</t>
  </si>
  <si>
    <t>İ*** KO***</t>
  </si>
  <si>
    <t>213***1020</t>
  </si>
  <si>
    <t>M*** HA***</t>
  </si>
  <si>
    <t>191***015</t>
  </si>
  <si>
    <t>A*** AD***</t>
  </si>
  <si>
    <t>201***5094</t>
  </si>
  <si>
    <t>Ş*** Çİ***</t>
  </si>
  <si>
    <t>201***5065</t>
  </si>
  <si>
    <t>H*** GÜ***</t>
  </si>
  <si>
    <t>201***5074</t>
  </si>
  <si>
    <t>F*** B*** OĞ***</t>
  </si>
  <si>
    <t>191***077</t>
  </si>
  <si>
    <t>M*** GH***</t>
  </si>
  <si>
    <t>181***404</t>
  </si>
  <si>
    <t>E*** ÇA***</t>
  </si>
  <si>
    <t>201***5068</t>
  </si>
  <si>
    <t>B*** ÖC***</t>
  </si>
  <si>
    <t>191***152</t>
  </si>
  <si>
    <t>İ*** N*** ŞA***</t>
  </si>
  <si>
    <t>191***044</t>
  </si>
  <si>
    <t>İ*** AR***</t>
  </si>
  <si>
    <t>191***026</t>
  </si>
  <si>
    <t>Ö*** E*** BE***</t>
  </si>
  <si>
    <t>A*** E*** NE***</t>
  </si>
  <si>
    <t>191***046</t>
  </si>
  <si>
    <t>B*** BA***</t>
  </si>
  <si>
    <t>220***008</t>
  </si>
  <si>
    <t>K*** KI***</t>
  </si>
  <si>
    <t>210***003</t>
  </si>
  <si>
    <t>E*** M*** Z*** ÇO***</t>
  </si>
  <si>
    <t>210***020</t>
  </si>
  <si>
    <t>B*** YÜ***</t>
  </si>
  <si>
    <t>200***021</t>
  </si>
  <si>
    <t>Z*** YA***</t>
  </si>
  <si>
    <t>210***002</t>
  </si>
  <si>
    <t>Ş*** AD***</t>
  </si>
  <si>
    <t>200***050</t>
  </si>
  <si>
    <t>İ*** AT***</t>
  </si>
  <si>
    <t>190***033</t>
  </si>
  <si>
    <t>H*** N*** ÖZ***</t>
  </si>
  <si>
    <t>190***016</t>
  </si>
  <si>
    <t>N*** BO***</t>
  </si>
  <si>
    <t>210***013</t>
  </si>
  <si>
    <t>T*** ES***</t>
  </si>
  <si>
    <t>210***023</t>
  </si>
  <si>
    <t>S*** D*** BA***</t>
  </si>
  <si>
    <t>191***067</t>
  </si>
  <si>
    <t>K*** GÜ***</t>
  </si>
  <si>
    <t>181***030</t>
  </si>
  <si>
    <t>E*** B*** GE***</t>
  </si>
  <si>
    <t>191***019</t>
  </si>
  <si>
    <t>A*** TU***</t>
  </si>
  <si>
    <t>191***004</t>
  </si>
  <si>
    <t>R*** TE***</t>
  </si>
  <si>
    <t>201***1022</t>
  </si>
  <si>
    <t>F*** BE***</t>
  </si>
  <si>
    <t>201***3021</t>
  </si>
  <si>
    <t>R*** A*** YA***</t>
  </si>
  <si>
    <t>201***1079</t>
  </si>
  <si>
    <t>Ö*** ER***</t>
  </si>
  <si>
    <t>211***2437</t>
  </si>
  <si>
    <t>M*** ÖZ***</t>
  </si>
  <si>
    <t>211***2444</t>
  </si>
  <si>
    <t>H*** S*** YÜ***</t>
  </si>
  <si>
    <t>211***2420</t>
  </si>
  <si>
    <t>B*** SA***</t>
  </si>
  <si>
    <t>201***4025</t>
  </si>
  <si>
    <t>S*** AK***</t>
  </si>
  <si>
    <t>211***2443</t>
  </si>
  <si>
    <t>A*** C*** İN***</t>
  </si>
  <si>
    <t>B*** ÖZ***</t>
  </si>
  <si>
    <t>A*** ÖZ</t>
  </si>
  <si>
    <t>U*** KO***</t>
  </si>
  <si>
    <t>R*** G*** KA***</t>
  </si>
  <si>
    <t>F*** Z*** SA***</t>
  </si>
  <si>
    <t>B*** UY***</t>
  </si>
  <si>
    <t>N*** KA***</t>
  </si>
  <si>
    <t>192***014</t>
  </si>
  <si>
    <t>Z*** ŞE*</t>
  </si>
  <si>
    <t>182***019</t>
  </si>
  <si>
    <t>T*** YI***</t>
  </si>
  <si>
    <t>192***040</t>
  </si>
  <si>
    <t>B*** ÜC***</t>
  </si>
  <si>
    <t>222***2059</t>
  </si>
  <si>
    <t>Ö*** GÜ***</t>
  </si>
  <si>
    <t>192***069</t>
  </si>
  <si>
    <t>M*** TE***</t>
  </si>
  <si>
    <t>192***018</t>
  </si>
  <si>
    <t>Ş*** AR***</t>
  </si>
  <si>
    <t>202***2040</t>
  </si>
  <si>
    <t>A*** F*** SA***</t>
  </si>
  <si>
    <t>192***049</t>
  </si>
  <si>
    <t>H*** N*** SA***</t>
  </si>
  <si>
    <t>202***2002</t>
  </si>
  <si>
    <t>192***052</t>
  </si>
  <si>
    <t>T*** OR***</t>
  </si>
  <si>
    <t>A*** YÜ***</t>
  </si>
  <si>
    <t>201***1029</t>
  </si>
  <si>
    <t>S*** M*** SA***</t>
  </si>
  <si>
    <t>181***406</t>
  </si>
  <si>
    <t>N*** A*** ZA***</t>
  </si>
  <si>
    <t>191***068</t>
  </si>
  <si>
    <t>M*** PO***</t>
  </si>
  <si>
    <t>E*** AV***</t>
  </si>
  <si>
    <t>181***460</t>
  </si>
  <si>
    <t>R*** YE***</t>
  </si>
  <si>
    <t>191***025</t>
  </si>
  <si>
    <t>Ö*** F*** GÜ***</t>
  </si>
  <si>
    <t>220***1142</t>
  </si>
  <si>
    <t>B*** N*** EN***</t>
  </si>
  <si>
    <t>180***013</t>
  </si>
  <si>
    <t>M*** N*** MA***</t>
  </si>
  <si>
    <t>180***061</t>
  </si>
  <si>
    <t>D*** YA***</t>
  </si>
  <si>
    <t>190***043</t>
  </si>
  <si>
    <t>D*** YI***</t>
  </si>
  <si>
    <t>190***013</t>
  </si>
  <si>
    <t>A*** C*** AR***</t>
  </si>
  <si>
    <t>220***1139</t>
  </si>
  <si>
    <t>S*** ER***</t>
  </si>
  <si>
    <t>200***1019</t>
  </si>
  <si>
    <t>Ş*** TI***</t>
  </si>
  <si>
    <t>210***1811</t>
  </si>
  <si>
    <t>M*** EV***</t>
  </si>
  <si>
    <t>180***401</t>
  </si>
  <si>
    <t>220***1117</t>
  </si>
  <si>
    <t>E*** AY***</t>
  </si>
  <si>
    <t>220***1092</t>
  </si>
  <si>
    <t>L*** JA***</t>
  </si>
  <si>
    <t>190***134</t>
  </si>
  <si>
    <t>T*** ÖN***</t>
  </si>
  <si>
    <t>180***512</t>
  </si>
  <si>
    <t>B*** ÇE***</t>
  </si>
  <si>
    <t>220***1115</t>
  </si>
  <si>
    <t>T*** ÜN***</t>
  </si>
  <si>
    <t>220***4052</t>
  </si>
  <si>
    <t>T*** Çİ***</t>
  </si>
  <si>
    <t>210***3004</t>
  </si>
  <si>
    <t>S*** D***  BE***</t>
  </si>
  <si>
    <t>210***7056</t>
  </si>
  <si>
    <t>E*** ÖZ***</t>
  </si>
  <si>
    <t>210***2017</t>
  </si>
  <si>
    <t>N*** D*** AB***</t>
  </si>
  <si>
    <t>210***7019</t>
  </si>
  <si>
    <t>210***7039</t>
  </si>
  <si>
    <t>F*** C*** KA***</t>
  </si>
  <si>
    <t>170***017</t>
  </si>
  <si>
    <t>S*** ŞA***</t>
  </si>
  <si>
    <t>210***1466</t>
  </si>
  <si>
    <t>İ*** S*** ÜN***</t>
  </si>
  <si>
    <t>210***1820</t>
  </si>
  <si>
    <t>A*** B*** AŞ***</t>
  </si>
  <si>
    <t>180***120</t>
  </si>
  <si>
    <t>A*** AB***</t>
  </si>
  <si>
    <t>170***412</t>
  </si>
  <si>
    <t>C*** ER***</t>
  </si>
  <si>
    <t>200***1093</t>
  </si>
  <si>
    <t>G*** SI***</t>
  </si>
  <si>
    <t>200***1179</t>
  </si>
  <si>
    <t>D*** AL***</t>
  </si>
  <si>
    <t>190***104</t>
  </si>
  <si>
    <t>S*** SE***</t>
  </si>
  <si>
    <t>191***009</t>
  </si>
  <si>
    <t>Ö*** DU***</t>
  </si>
  <si>
    <t>211***1084</t>
  </si>
  <si>
    <t>Ç*** MU***</t>
  </si>
  <si>
    <t>181***433</t>
  </si>
  <si>
    <t>Z*** S*** DE***</t>
  </si>
  <si>
    <t>191***085</t>
  </si>
  <si>
    <t>H*** O*** BU***</t>
  </si>
  <si>
    <t>191***105</t>
  </si>
  <si>
    <t>G*** CA***</t>
  </si>
  <si>
    <t>191***086</t>
  </si>
  <si>
    <t>A*** ŞA***</t>
  </si>
  <si>
    <t>191***007</t>
  </si>
  <si>
    <t>201***1066</t>
  </si>
  <si>
    <t>R*** NA***</t>
  </si>
  <si>
    <t>201***1010</t>
  </si>
  <si>
    <t>E*** EG***</t>
  </si>
  <si>
    <t>181***421</t>
  </si>
  <si>
    <t>A*** Y*** ÖZ***</t>
  </si>
  <si>
    <t>191***098</t>
  </si>
  <si>
    <t>L*** N*** BE***</t>
  </si>
  <si>
    <t>210***1003</t>
  </si>
  <si>
    <t>A*** LA***</t>
  </si>
  <si>
    <t>220***2034</t>
  </si>
  <si>
    <t>G*** S*** Bİ***</t>
  </si>
  <si>
    <t>210***1022</t>
  </si>
  <si>
    <t>G*** BO***</t>
  </si>
  <si>
    <t>190***006</t>
  </si>
  <si>
    <t>E*** UÇ***</t>
  </si>
  <si>
    <t>190***071</t>
  </si>
  <si>
    <t>N*** SÜ***</t>
  </si>
  <si>
    <t>200***6036</t>
  </si>
  <si>
    <t>L*** AR***</t>
  </si>
  <si>
    <t>200***1102</t>
  </si>
  <si>
    <t>B*** YA***</t>
  </si>
  <si>
    <t>190***038</t>
  </si>
  <si>
    <t>E*** N*** DO***</t>
  </si>
  <si>
    <t>200***1031</t>
  </si>
  <si>
    <t>D*** AY***</t>
  </si>
  <si>
    <t>200***3074</t>
  </si>
  <si>
    <t>Z*** SI***</t>
  </si>
  <si>
    <t>180***416</t>
  </si>
  <si>
    <t>İ*** DU***</t>
  </si>
  <si>
    <t>200***1021</t>
  </si>
  <si>
    <t>190***052</t>
  </si>
  <si>
    <t>R*** R*** DO***</t>
  </si>
  <si>
    <t>190***063</t>
  </si>
  <si>
    <t>B*** CO***</t>
  </si>
  <si>
    <t>200***5033</t>
  </si>
  <si>
    <t xml:space="preserve">Y*** D*** ÖZ*** </t>
  </si>
  <si>
    <t>200***1010</t>
  </si>
  <si>
    <t>H*** ÖN***</t>
  </si>
  <si>
    <t>190***032</t>
  </si>
  <si>
    <t>Z*** ÖZ***</t>
  </si>
  <si>
    <t>200***1027</t>
  </si>
  <si>
    <t>G*** KA***</t>
  </si>
  <si>
    <t>200***3082</t>
  </si>
  <si>
    <t>200***9017</t>
  </si>
  <si>
    <t>F*** YI***</t>
  </si>
  <si>
    <t>190***057</t>
  </si>
  <si>
    <t>A*** U*** GÜ***</t>
  </si>
  <si>
    <t>200***9012</t>
  </si>
  <si>
    <t>C*** BÜ***</t>
  </si>
  <si>
    <t>190***003</t>
  </si>
  <si>
    <t>E*** ME***</t>
  </si>
  <si>
    <t>190***049</t>
  </si>
  <si>
    <t>S*** OR***</t>
  </si>
  <si>
    <t>190***068</t>
  </si>
  <si>
    <t>N*** YU***</t>
  </si>
  <si>
    <t>190***037</t>
  </si>
  <si>
    <t>D*** ÇE***</t>
  </si>
  <si>
    <t>190***024</t>
  </si>
  <si>
    <t>O*** JE***</t>
  </si>
  <si>
    <t>170***409</t>
  </si>
  <si>
    <t>200***8052</t>
  </si>
  <si>
    <t>Z*** Pİ***</t>
  </si>
  <si>
    <t>191***024</t>
  </si>
  <si>
    <t>S*** Nİ*** ÖZ***</t>
  </si>
  <si>
    <t>201***1068</t>
  </si>
  <si>
    <t>S*** TO***</t>
  </si>
  <si>
    <t>181***451</t>
  </si>
  <si>
    <t>N*** ME***</t>
  </si>
  <si>
    <t>181***027</t>
  </si>
  <si>
    <t>S*** BO***</t>
  </si>
  <si>
    <t>181***434</t>
  </si>
  <si>
    <t>T*** S*** PA***</t>
  </si>
  <si>
    <t>171***409</t>
  </si>
  <si>
    <t>F*** B*** EF***</t>
  </si>
  <si>
    <t>201***1051</t>
  </si>
  <si>
    <t>M*** P*** BE***</t>
  </si>
  <si>
    <t>181***430</t>
  </si>
  <si>
    <t>H*** B*** ÇO***</t>
  </si>
  <si>
    <t>201***1040</t>
  </si>
  <si>
    <t>181***068</t>
  </si>
  <si>
    <t>Ş*** MU***</t>
  </si>
  <si>
    <t>191***020</t>
  </si>
  <si>
    <t>A*** SO***</t>
  </si>
  <si>
    <t>190***025</t>
  </si>
  <si>
    <t>S*** KA***</t>
  </si>
  <si>
    <t>H*** N*** TO***</t>
  </si>
  <si>
    <t>190***079</t>
  </si>
  <si>
    <t>M*** UZ***</t>
  </si>
  <si>
    <t>190***018</t>
  </si>
  <si>
    <t>İ*** GÜ***</t>
  </si>
  <si>
    <t>190***051</t>
  </si>
  <si>
    <t>C*** TO***</t>
  </si>
  <si>
    <t>200***1034</t>
  </si>
  <si>
    <t>Z*** KA***</t>
  </si>
  <si>
    <t>E*** ÜS***</t>
  </si>
  <si>
    <t>210***1601</t>
  </si>
  <si>
    <t>D*** PO***</t>
  </si>
  <si>
    <t>190***074</t>
  </si>
  <si>
    <t>N*** KU***</t>
  </si>
  <si>
    <t>200***1064</t>
  </si>
  <si>
    <t>A*** XI***</t>
  </si>
  <si>
    <t>180***408</t>
  </si>
  <si>
    <t>190***030</t>
  </si>
  <si>
    <t>B*** SE***</t>
  </si>
  <si>
    <t>200***1057</t>
  </si>
  <si>
    <t>200***1004</t>
  </si>
  <si>
    <t>A*** ÖZ***</t>
  </si>
  <si>
    <t>221***019</t>
  </si>
  <si>
    <t>F*** G*** AY***</t>
  </si>
  <si>
    <t>211***054</t>
  </si>
  <si>
    <t>Ç*** ÇU***</t>
  </si>
  <si>
    <t>211***005</t>
  </si>
  <si>
    <t>P*** ÜN***</t>
  </si>
  <si>
    <t>201***094</t>
  </si>
  <si>
    <t>201***074</t>
  </si>
  <si>
    <t>D*** ÜN***</t>
  </si>
  <si>
    <t>201***070</t>
  </si>
  <si>
    <t>S*** N*** KA***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</si>
</sst>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rgb="FF82F68D"/>
        <bgColor indexed="64"/>
      </patternFill>
    </fill>
    <fill>
      <patternFill patternType="solid">
        <fgColor rgb="FF82F68D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left" vertical="center"/>
    </xf>
    <xf numFmtId="0" fontId="1" fillId="2" borderId="2" xfId="1" applyBorder="1" applyAlignment="1">
      <alignment horizontal="center" vertical="center"/>
    </xf>
    <xf numFmtId="0" fontId="0" fillId="3" borderId="0" xfId="0" applyFill="1"/>
    <xf numFmtId="0" fontId="1" fillId="2" borderId="3" xfId="1" applyBorder="1" applyAlignment="1">
      <alignment horizontal="center" vertical="center"/>
    </xf>
    <xf numFmtId="4" fontId="1" fillId="2" borderId="3" xfId="1" applyNumberForma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center"/>
    </xf>
    <xf numFmtId="0" fontId="0" fillId="8" borderId="1" xfId="0" applyFill="1" applyBorder="1"/>
    <xf numFmtId="0" fontId="0" fillId="8" borderId="0" xfId="0" applyFill="1"/>
    <xf numFmtId="0" fontId="0" fillId="10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center"/>
    </xf>
    <xf numFmtId="0" fontId="0" fillId="10" borderId="1" xfId="0" applyFill="1" applyBorder="1"/>
    <xf numFmtId="0" fontId="0" fillId="10" borderId="0" xfId="0" applyFill="1"/>
    <xf numFmtId="0" fontId="0" fillId="10" borderId="1" xfId="0" applyFill="1" applyBorder="1" applyAlignment="1">
      <alignment horizontal="center"/>
    </xf>
    <xf numFmtId="0" fontId="0" fillId="12" borderId="1" xfId="0" applyFill="1" applyBorder="1" applyAlignment="1">
      <alignment horizontal="left" vertic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0" fontId="0" fillId="12" borderId="0" xfId="0" applyFill="1"/>
    <xf numFmtId="0" fontId="0" fillId="13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left" vertical="center"/>
    </xf>
    <xf numFmtId="0" fontId="0" fillId="15" borderId="1" xfId="0" applyFill="1" applyBorder="1" applyAlignment="1">
      <alignment horizontal="center"/>
    </xf>
    <xf numFmtId="0" fontId="0" fillId="14" borderId="1" xfId="0" applyFill="1" applyBorder="1"/>
    <xf numFmtId="0" fontId="0" fillId="14" borderId="0" xfId="0" applyFill="1"/>
    <xf numFmtId="0" fontId="0" fillId="16" borderId="1" xfId="0" applyFill="1" applyBorder="1" applyAlignment="1">
      <alignment horizontal="left" vertical="center"/>
    </xf>
    <xf numFmtId="0" fontId="0" fillId="17" borderId="1" xfId="0" applyFill="1" applyBorder="1" applyAlignment="1">
      <alignment horizontal="center"/>
    </xf>
    <xf numFmtId="0" fontId="0" fillId="16" borderId="1" xfId="0" applyFill="1" applyBorder="1"/>
    <xf numFmtId="0" fontId="0" fillId="16" borderId="0" xfId="0" applyFill="1"/>
    <xf numFmtId="0" fontId="0" fillId="16" borderId="1" xfId="0" applyFill="1" applyBorder="1" applyAlignment="1">
      <alignment horizontal="center"/>
    </xf>
    <xf numFmtId="0" fontId="0" fillId="18" borderId="1" xfId="0" applyFill="1" applyBorder="1" applyAlignment="1">
      <alignment horizontal="left" vertical="center"/>
    </xf>
    <xf numFmtId="0" fontId="0" fillId="19" borderId="1" xfId="0" applyFill="1" applyBorder="1" applyAlignment="1">
      <alignment horizontal="center"/>
    </xf>
    <xf numFmtId="0" fontId="0" fillId="18" borderId="1" xfId="0" applyFill="1" applyBorder="1"/>
    <xf numFmtId="0" fontId="0" fillId="18" borderId="0" xfId="0" applyFill="1"/>
    <xf numFmtId="0" fontId="0" fillId="18" borderId="1" xfId="0" applyFill="1" applyBorder="1" applyAlignment="1">
      <alignment horizontal="center"/>
    </xf>
    <xf numFmtId="0" fontId="0" fillId="20" borderId="1" xfId="0" applyFill="1" applyBorder="1" applyAlignment="1">
      <alignment horizontal="left" vertical="center"/>
    </xf>
    <xf numFmtId="0" fontId="0" fillId="21" borderId="1" xfId="0" applyFill="1" applyBorder="1" applyAlignment="1">
      <alignment horizontal="center"/>
    </xf>
    <xf numFmtId="0" fontId="0" fillId="20" borderId="1" xfId="0" applyFill="1" applyBorder="1"/>
    <xf numFmtId="0" fontId="0" fillId="20" borderId="0" xfId="0" applyFill="1"/>
    <xf numFmtId="0" fontId="0" fillId="20" borderId="1" xfId="0" applyFill="1" applyBorder="1" applyAlignment="1">
      <alignment horizontal="center" vertical="center"/>
    </xf>
    <xf numFmtId="0" fontId="0" fillId="22" borderId="1" xfId="0" applyFill="1" applyBorder="1" applyAlignment="1">
      <alignment horizontal="left" vertical="center"/>
    </xf>
    <xf numFmtId="0" fontId="0" fillId="23" borderId="1" xfId="0" applyFill="1" applyBorder="1" applyAlignment="1">
      <alignment horizontal="center"/>
    </xf>
    <xf numFmtId="0" fontId="0" fillId="22" borderId="1" xfId="0" applyFill="1" applyBorder="1"/>
    <xf numFmtId="0" fontId="0" fillId="22" borderId="0" xfId="0" applyFill="1"/>
    <xf numFmtId="0" fontId="0" fillId="24" borderId="1" xfId="0" applyFill="1" applyBorder="1" applyAlignment="1">
      <alignment horizontal="left" vertical="center"/>
    </xf>
    <xf numFmtId="0" fontId="0" fillId="25" borderId="1" xfId="0" applyFill="1" applyBorder="1" applyAlignment="1">
      <alignment horizontal="center"/>
    </xf>
    <xf numFmtId="0" fontId="0" fillId="24" borderId="1" xfId="0" applyFill="1" applyBorder="1"/>
    <xf numFmtId="0" fontId="0" fillId="24" borderId="0" xfId="0" applyFill="1"/>
    <xf numFmtId="0" fontId="0" fillId="24" borderId="1" xfId="0" applyFill="1" applyBorder="1" applyAlignment="1">
      <alignment horizontal="center" vertical="center"/>
    </xf>
    <xf numFmtId="0" fontId="0" fillId="26" borderId="1" xfId="0" applyFill="1" applyBorder="1" applyAlignment="1">
      <alignment horizontal="left" vertical="center"/>
    </xf>
    <xf numFmtId="0" fontId="0" fillId="27" borderId="1" xfId="0" applyFill="1" applyBorder="1" applyAlignment="1">
      <alignment horizontal="center"/>
    </xf>
    <xf numFmtId="0" fontId="0" fillId="26" borderId="1" xfId="0" applyFill="1" applyBorder="1"/>
    <xf numFmtId="0" fontId="0" fillId="26" borderId="0" xfId="0" applyFill="1"/>
    <xf numFmtId="0" fontId="0" fillId="2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28" borderId="1" xfId="0" applyFill="1" applyBorder="1" applyAlignment="1">
      <alignment horizontal="left" vertical="center"/>
    </xf>
    <xf numFmtId="0" fontId="0" fillId="29" borderId="1" xfId="0" applyFill="1" applyBorder="1" applyAlignment="1">
      <alignment horizontal="center"/>
    </xf>
    <xf numFmtId="0" fontId="0" fillId="28" borderId="1" xfId="0" applyFill="1" applyBorder="1"/>
    <xf numFmtId="0" fontId="0" fillId="28" borderId="0" xfId="0" applyFill="1"/>
    <xf numFmtId="0" fontId="0" fillId="10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28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0" borderId="1" xfId="0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0" borderId="1" xfId="0" applyFill="1" applyBorder="1" applyAlignment="1">
      <alignment horizontal="left" vertical="center"/>
    </xf>
    <xf numFmtId="0" fontId="0" fillId="30" borderId="1" xfId="0" applyFill="1" applyBorder="1" applyAlignment="1">
      <alignment horizontal="center" vertical="center"/>
    </xf>
    <xf numFmtId="0" fontId="0" fillId="30" borderId="1" xfId="0" applyFill="1" applyBorder="1" applyAlignment="1">
      <alignment horizontal="center"/>
    </xf>
    <xf numFmtId="0" fontId="0" fillId="30" borderId="1" xfId="0" applyFill="1" applyBorder="1"/>
    <xf numFmtId="0" fontId="0" fillId="30" borderId="0" xfId="0" applyFill="1"/>
    <xf numFmtId="0" fontId="0" fillId="31" borderId="1" xfId="0" applyFill="1" applyBorder="1" applyAlignment="1">
      <alignment horizontal="center"/>
    </xf>
    <xf numFmtId="0" fontId="0" fillId="3" borderId="3" xfId="0" applyFill="1" applyBorder="1" applyAlignment="1">
      <alignment vertical="center"/>
    </xf>
    <xf numFmtId="0" fontId="0" fillId="32" borderId="1" xfId="0" applyFill="1" applyBorder="1" applyAlignment="1">
      <alignment horizontal="left" vertical="center"/>
    </xf>
    <xf numFmtId="0" fontId="0" fillId="32" borderId="1" xfId="0" applyFill="1" applyBorder="1" applyAlignment="1">
      <alignment horizontal="center" vertical="center"/>
    </xf>
    <xf numFmtId="0" fontId="0" fillId="33" borderId="1" xfId="0" applyFill="1" applyBorder="1" applyAlignment="1">
      <alignment horizontal="center"/>
    </xf>
    <xf numFmtId="0" fontId="0" fillId="32" borderId="1" xfId="0" applyFill="1" applyBorder="1" applyAlignment="1">
      <alignment horizontal="center"/>
    </xf>
    <xf numFmtId="0" fontId="0" fillId="32" borderId="1" xfId="0" applyFill="1" applyBorder="1"/>
    <xf numFmtId="0" fontId="0" fillId="32" borderId="0" xfId="0" applyFill="1"/>
  </cellXfs>
  <cellStyles count="2">
    <cellStyle name="Normal" xfId="0" builtinId="0"/>
    <cellStyle name="Vurgu1" xfId="1" builtinId="29"/>
  </cellStyles>
  <dxfs count="0"/>
  <tableStyles count="0" defaultTableStyle="TableStyleMedium2" defaultPivotStyle="PivotStyleLight16"/>
  <colors>
    <mruColors>
      <color rgb="FF82F6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7"/>
  <sheetViews>
    <sheetView tabSelected="1" topLeftCell="A13" zoomScale="66" zoomScaleNormal="66" workbookViewId="0">
      <selection activeCell="B120" sqref="B120"/>
    </sheetView>
  </sheetViews>
  <sheetFormatPr defaultRowHeight="14.4" x14ac:dyDescent="0.3"/>
  <cols>
    <col min="1" max="1" width="34.109375" style="1" bestFit="1" customWidth="1"/>
    <col min="2" max="2" width="15.44140625" style="1" bestFit="1" customWidth="1"/>
    <col min="3" max="3" width="52.44140625" style="1" customWidth="1"/>
    <col min="4" max="4" width="20.5546875" style="80" bestFit="1" customWidth="1"/>
    <col min="5" max="5" width="23.44140625" style="80" bestFit="1" customWidth="1"/>
    <col min="6" max="6" width="25.44140625" style="80" bestFit="1" customWidth="1"/>
    <col min="7" max="7" width="16.44140625" style="89" bestFit="1" customWidth="1"/>
    <col min="8" max="8" width="14.88671875" bestFit="1" customWidth="1"/>
    <col min="9" max="9" width="31.6640625" bestFit="1" customWidth="1"/>
    <col min="10" max="10" width="12.88671875" bestFit="1" customWidth="1"/>
    <col min="11" max="11" width="18.5546875" bestFit="1" customWidth="1"/>
    <col min="12" max="12" width="9.5546875" bestFit="1" customWidth="1"/>
    <col min="13" max="13" width="16.109375" bestFit="1" customWidth="1"/>
    <col min="14" max="14" width="22.6640625" bestFit="1" customWidth="1"/>
    <col min="15" max="15" width="12.6640625" customWidth="1"/>
  </cols>
  <sheetData>
    <row r="1" spans="1:16" x14ac:dyDescent="0.3">
      <c r="A1" s="4" t="s">
        <v>0</v>
      </c>
      <c r="B1" s="4" t="s">
        <v>3</v>
      </c>
      <c r="C1" s="4" t="s">
        <v>1</v>
      </c>
      <c r="D1" s="4" t="s">
        <v>2</v>
      </c>
      <c r="E1" s="4" t="s">
        <v>29</v>
      </c>
      <c r="F1" s="5" t="s">
        <v>4</v>
      </c>
      <c r="G1" s="2" t="s">
        <v>28</v>
      </c>
      <c r="H1" s="2" t="s">
        <v>30</v>
      </c>
      <c r="I1" s="2" t="s">
        <v>35</v>
      </c>
      <c r="J1" s="2" t="s">
        <v>31</v>
      </c>
      <c r="K1" s="2" t="s">
        <v>32</v>
      </c>
      <c r="L1" s="2" t="s">
        <v>33</v>
      </c>
      <c r="M1" s="2" t="s">
        <v>38</v>
      </c>
      <c r="N1" s="2" t="s">
        <v>34</v>
      </c>
      <c r="O1" s="2" t="s">
        <v>36</v>
      </c>
      <c r="P1" s="2" t="s">
        <v>37</v>
      </c>
    </row>
    <row r="2" spans="1:16" s="94" customFormat="1" x14ac:dyDescent="0.3">
      <c r="A2" s="90" t="s">
        <v>182</v>
      </c>
      <c r="B2" s="90" t="s">
        <v>183</v>
      </c>
      <c r="C2" s="90" t="s">
        <v>12</v>
      </c>
      <c r="D2" s="91" t="s">
        <v>41</v>
      </c>
      <c r="E2" s="91">
        <f>82.5/2</f>
        <v>41.25</v>
      </c>
      <c r="F2" s="95">
        <v>92.5</v>
      </c>
      <c r="G2" s="92">
        <f>92.5/2</f>
        <v>46.25</v>
      </c>
      <c r="H2" s="93">
        <v>10</v>
      </c>
      <c r="I2" s="93"/>
      <c r="J2" s="93"/>
      <c r="K2" s="93"/>
      <c r="L2" s="93"/>
      <c r="M2" s="93"/>
      <c r="N2" s="93"/>
      <c r="O2" s="93">
        <f>E2+G2+H2+I2</f>
        <v>97.5</v>
      </c>
      <c r="P2" s="93" t="s">
        <v>179</v>
      </c>
    </row>
    <row r="3" spans="1:16" s="94" customFormat="1" x14ac:dyDescent="0.3">
      <c r="A3" s="90" t="s">
        <v>184</v>
      </c>
      <c r="B3" s="90" t="s">
        <v>185</v>
      </c>
      <c r="C3" s="90" t="s">
        <v>12</v>
      </c>
      <c r="D3" s="91" t="s">
        <v>40</v>
      </c>
      <c r="E3" s="91">
        <f>86/2</f>
        <v>43</v>
      </c>
      <c r="F3" s="95">
        <v>97.5</v>
      </c>
      <c r="G3" s="92">
        <f>97.5/2</f>
        <v>48.75</v>
      </c>
      <c r="H3" s="93"/>
      <c r="I3" s="93"/>
      <c r="J3" s="93"/>
      <c r="K3" s="93"/>
      <c r="L3" s="93"/>
      <c r="M3" s="93"/>
      <c r="N3" s="93"/>
      <c r="O3" s="93">
        <f>E3+G3</f>
        <v>91.75</v>
      </c>
      <c r="P3" s="93" t="s">
        <v>178</v>
      </c>
    </row>
    <row r="4" spans="1:16" s="94" customFormat="1" x14ac:dyDescent="0.3">
      <c r="A4" s="90" t="s">
        <v>186</v>
      </c>
      <c r="B4" s="90" t="s">
        <v>187</v>
      </c>
      <c r="C4" s="90" t="s">
        <v>12</v>
      </c>
      <c r="D4" s="91" t="s">
        <v>43</v>
      </c>
      <c r="E4" s="91">
        <f>79/2</f>
        <v>39.5</v>
      </c>
      <c r="F4" s="95">
        <v>90</v>
      </c>
      <c r="G4" s="92">
        <f>90/2</f>
        <v>45</v>
      </c>
      <c r="H4" s="93"/>
      <c r="I4" s="93"/>
      <c r="J4" s="93"/>
      <c r="K4" s="93"/>
      <c r="L4" s="93"/>
      <c r="M4" s="93"/>
      <c r="N4" s="93"/>
      <c r="O4" s="93">
        <f>E4+G4</f>
        <v>84.5</v>
      </c>
      <c r="P4" s="93" t="s">
        <v>178</v>
      </c>
    </row>
    <row r="5" spans="1:16" s="94" customFormat="1" x14ac:dyDescent="0.3">
      <c r="A5" s="90" t="s">
        <v>188</v>
      </c>
      <c r="B5" s="90" t="s">
        <v>189</v>
      </c>
      <c r="C5" s="90" t="s">
        <v>12</v>
      </c>
      <c r="D5" s="91" t="s">
        <v>42</v>
      </c>
      <c r="E5" s="91">
        <f>84.36/2</f>
        <v>42.18</v>
      </c>
      <c r="F5" s="92">
        <v>77.5</v>
      </c>
      <c r="G5" s="92">
        <f>77.5/2</f>
        <v>38.75</v>
      </c>
      <c r="H5" s="93"/>
      <c r="I5" s="93"/>
      <c r="J5" s="93"/>
      <c r="K5" s="93"/>
      <c r="L5" s="93"/>
      <c r="M5" s="93"/>
      <c r="N5" s="93"/>
      <c r="O5" s="93">
        <f>E5+G5</f>
        <v>80.930000000000007</v>
      </c>
      <c r="P5" s="93" t="s">
        <v>178</v>
      </c>
    </row>
    <row r="6" spans="1:16" s="94" customFormat="1" x14ac:dyDescent="0.3">
      <c r="A6" s="90" t="s">
        <v>190</v>
      </c>
      <c r="B6" s="90" t="s">
        <v>191</v>
      </c>
      <c r="C6" s="90" t="s">
        <v>12</v>
      </c>
      <c r="D6" s="91" t="s">
        <v>39</v>
      </c>
      <c r="E6" s="91">
        <f>81.56/2</f>
        <v>40.78</v>
      </c>
      <c r="F6" s="91">
        <v>72.5</v>
      </c>
      <c r="G6" s="92">
        <f>72.5/2</f>
        <v>36.25</v>
      </c>
      <c r="H6" s="93"/>
      <c r="I6" s="93"/>
      <c r="J6" s="93"/>
      <c r="K6" s="93"/>
      <c r="L6" s="93"/>
      <c r="M6" s="93"/>
      <c r="N6" s="93">
        <v>-10</v>
      </c>
      <c r="O6" s="93">
        <f>E6+G6+N6</f>
        <v>67.03</v>
      </c>
      <c r="P6" s="93" t="s">
        <v>178</v>
      </c>
    </row>
    <row r="7" spans="1:16" s="18" customFormat="1" x14ac:dyDescent="0.3">
      <c r="A7" s="15" t="s">
        <v>192</v>
      </c>
      <c r="B7" s="15" t="s">
        <v>193</v>
      </c>
      <c r="C7" s="15" t="s">
        <v>15</v>
      </c>
      <c r="D7" s="34" t="s">
        <v>45</v>
      </c>
      <c r="E7" s="34">
        <f>96.96/2</f>
        <v>48.48</v>
      </c>
      <c r="F7" s="16">
        <v>92.5</v>
      </c>
      <c r="G7" s="19">
        <f>92.5/2</f>
        <v>46.25</v>
      </c>
      <c r="H7" s="17"/>
      <c r="I7" s="17"/>
      <c r="J7" s="17"/>
      <c r="K7" s="17"/>
      <c r="L7" s="17"/>
      <c r="M7" s="17"/>
      <c r="N7" s="17"/>
      <c r="O7" s="17">
        <f>E7+G7</f>
        <v>94.72999999999999</v>
      </c>
      <c r="P7" s="17" t="s">
        <v>179</v>
      </c>
    </row>
    <row r="8" spans="1:16" s="18" customFormat="1" x14ac:dyDescent="0.3">
      <c r="A8" s="15" t="s">
        <v>194</v>
      </c>
      <c r="B8" s="15" t="s">
        <v>195</v>
      </c>
      <c r="C8" s="15" t="s">
        <v>15</v>
      </c>
      <c r="D8" s="34" t="s">
        <v>51</v>
      </c>
      <c r="E8" s="34">
        <f>92.3/2</f>
        <v>46.15</v>
      </c>
      <c r="F8" s="16">
        <v>92.5</v>
      </c>
      <c r="G8" s="19">
        <f>92.5/2</f>
        <v>46.25</v>
      </c>
      <c r="H8" s="17"/>
      <c r="I8" s="17"/>
      <c r="J8" s="17"/>
      <c r="K8" s="17"/>
      <c r="L8" s="17"/>
      <c r="M8" s="17"/>
      <c r="N8" s="17"/>
      <c r="O8" s="17">
        <f>E8+G8</f>
        <v>92.4</v>
      </c>
      <c r="P8" s="17" t="s">
        <v>178</v>
      </c>
    </row>
    <row r="9" spans="1:16" s="18" customFormat="1" x14ac:dyDescent="0.3">
      <c r="A9" s="15" t="s">
        <v>196</v>
      </c>
      <c r="B9" s="15" t="s">
        <v>197</v>
      </c>
      <c r="C9" s="15" t="s">
        <v>15</v>
      </c>
      <c r="D9" s="34" t="s">
        <v>46</v>
      </c>
      <c r="E9" s="34">
        <f>79.93/2</f>
        <v>39.965000000000003</v>
      </c>
      <c r="F9" s="16">
        <v>95</v>
      </c>
      <c r="G9" s="19">
        <f>95/2</f>
        <v>47.5</v>
      </c>
      <c r="H9" s="17"/>
      <c r="I9" s="17"/>
      <c r="J9" s="17"/>
      <c r="K9" s="17"/>
      <c r="L9" s="17"/>
      <c r="M9" s="17"/>
      <c r="N9" s="17"/>
      <c r="O9" s="17">
        <f>E9+G9</f>
        <v>87.465000000000003</v>
      </c>
      <c r="P9" s="17" t="s">
        <v>178</v>
      </c>
    </row>
    <row r="10" spans="1:16" s="18" customFormat="1" x14ac:dyDescent="0.3">
      <c r="A10" s="15" t="s">
        <v>198</v>
      </c>
      <c r="B10" s="15" t="s">
        <v>199</v>
      </c>
      <c r="C10" s="15" t="s">
        <v>15</v>
      </c>
      <c r="D10" s="34" t="s">
        <v>50</v>
      </c>
      <c r="E10" s="34">
        <f>88.8/2</f>
        <v>44.4</v>
      </c>
      <c r="F10" s="19">
        <v>82.5</v>
      </c>
      <c r="G10" s="19">
        <f>82.5/2</f>
        <v>41.25</v>
      </c>
      <c r="H10" s="17"/>
      <c r="I10" s="17"/>
      <c r="J10" s="17"/>
      <c r="K10" s="17"/>
      <c r="L10" s="17"/>
      <c r="M10" s="17"/>
      <c r="N10" s="17"/>
      <c r="O10" s="17">
        <f>E10+G10</f>
        <v>85.65</v>
      </c>
      <c r="P10" s="17" t="s">
        <v>178</v>
      </c>
    </row>
    <row r="11" spans="1:16" s="18" customFormat="1" x14ac:dyDescent="0.3">
      <c r="A11" s="15" t="s">
        <v>200</v>
      </c>
      <c r="B11" s="15" t="s">
        <v>201</v>
      </c>
      <c r="C11" s="15" t="s">
        <v>15</v>
      </c>
      <c r="D11" s="34" t="s">
        <v>48</v>
      </c>
      <c r="E11" s="34">
        <f>82.96/2</f>
        <v>41.48</v>
      </c>
      <c r="F11" s="16">
        <v>87.5</v>
      </c>
      <c r="G11" s="19">
        <f>87.5/2</f>
        <v>43.75</v>
      </c>
      <c r="H11" s="17"/>
      <c r="I11" s="17"/>
      <c r="J11" s="17"/>
      <c r="K11" s="17"/>
      <c r="L11" s="17"/>
      <c r="M11" s="17"/>
      <c r="N11" s="17"/>
      <c r="O11" s="17">
        <f>E11+G11</f>
        <v>85.22999999999999</v>
      </c>
      <c r="P11" s="17" t="s">
        <v>178</v>
      </c>
    </row>
    <row r="12" spans="1:16" s="18" customFormat="1" x14ac:dyDescent="0.3">
      <c r="A12" s="15" t="s">
        <v>202</v>
      </c>
      <c r="B12" s="15" t="s">
        <v>203</v>
      </c>
      <c r="C12" s="15" t="s">
        <v>15</v>
      </c>
      <c r="D12" s="34" t="s">
        <v>44</v>
      </c>
      <c r="E12" s="34">
        <f>76.66/2</f>
        <v>38.33</v>
      </c>
      <c r="F12" s="16">
        <v>87.5</v>
      </c>
      <c r="G12" s="19">
        <f>87.5/2</f>
        <v>43.75</v>
      </c>
      <c r="H12" s="17"/>
      <c r="I12" s="17"/>
      <c r="J12" s="17"/>
      <c r="K12" s="17"/>
      <c r="L12" s="17"/>
      <c r="M12" s="17"/>
      <c r="N12" s="17"/>
      <c r="O12" s="17">
        <f t="shared" ref="O12:O35" si="0">E12+G12</f>
        <v>82.08</v>
      </c>
      <c r="P12" s="17" t="s">
        <v>178</v>
      </c>
    </row>
    <row r="13" spans="1:16" s="18" customFormat="1" x14ac:dyDescent="0.3">
      <c r="A13" s="15" t="s">
        <v>204</v>
      </c>
      <c r="B13" s="15" t="s">
        <v>205</v>
      </c>
      <c r="C13" s="15" t="s">
        <v>15</v>
      </c>
      <c r="D13" s="34" t="s">
        <v>47</v>
      </c>
      <c r="E13" s="34">
        <f>80.86/2</f>
        <v>40.43</v>
      </c>
      <c r="F13" s="19">
        <v>82.5</v>
      </c>
      <c r="G13" s="19">
        <f>82.5/2</f>
        <v>41.25</v>
      </c>
      <c r="H13" s="17"/>
      <c r="I13" s="17"/>
      <c r="J13" s="17"/>
      <c r="K13" s="17"/>
      <c r="L13" s="17"/>
      <c r="M13" s="17"/>
      <c r="N13" s="17"/>
      <c r="O13" s="17">
        <f t="shared" ref="O13:O30" si="1">E13+G13</f>
        <v>81.680000000000007</v>
      </c>
      <c r="P13" s="17" t="s">
        <v>178</v>
      </c>
    </row>
    <row r="14" spans="1:16" s="18" customFormat="1" x14ac:dyDescent="0.3">
      <c r="A14" s="15" t="s">
        <v>206</v>
      </c>
      <c r="B14" s="15" t="s">
        <v>207</v>
      </c>
      <c r="C14" s="15" t="s">
        <v>15</v>
      </c>
      <c r="D14" s="34" t="s">
        <v>49</v>
      </c>
      <c r="E14" s="34">
        <f>82.26/2</f>
        <v>41.13</v>
      </c>
      <c r="F14" s="19">
        <v>77.5</v>
      </c>
      <c r="G14" s="19">
        <f>77.5/2</f>
        <v>38.75</v>
      </c>
      <c r="H14" s="17"/>
      <c r="I14" s="17"/>
      <c r="J14" s="17"/>
      <c r="K14" s="17"/>
      <c r="L14" s="17"/>
      <c r="M14" s="17"/>
      <c r="N14" s="17"/>
      <c r="O14" s="17">
        <f t="shared" si="1"/>
        <v>79.88</v>
      </c>
      <c r="P14" s="17" t="s">
        <v>178</v>
      </c>
    </row>
    <row r="15" spans="1:16" s="18" customFormat="1" x14ac:dyDescent="0.3">
      <c r="A15" s="15" t="s">
        <v>208</v>
      </c>
      <c r="B15" s="15" t="s">
        <v>209</v>
      </c>
      <c r="C15" s="15" t="s">
        <v>15</v>
      </c>
      <c r="D15" s="34" t="s">
        <v>52</v>
      </c>
      <c r="E15" s="34">
        <f>60.8/2</f>
        <v>30.4</v>
      </c>
      <c r="F15" s="16">
        <v>92.5</v>
      </c>
      <c r="G15" s="19">
        <f>92.5/2</f>
        <v>46.25</v>
      </c>
      <c r="H15" s="17"/>
      <c r="I15" s="17"/>
      <c r="J15" s="17"/>
      <c r="K15" s="17"/>
      <c r="L15" s="17"/>
      <c r="M15" s="17"/>
      <c r="N15" s="17"/>
      <c r="O15" s="17">
        <f t="shared" si="1"/>
        <v>76.650000000000006</v>
      </c>
      <c r="P15" s="17" t="s">
        <v>178</v>
      </c>
    </row>
    <row r="16" spans="1:16" s="27" customFormat="1" x14ac:dyDescent="0.3">
      <c r="A16" s="24" t="s">
        <v>210</v>
      </c>
      <c r="B16" s="24" t="s">
        <v>211</v>
      </c>
      <c r="C16" s="24" t="s">
        <v>5</v>
      </c>
      <c r="D16" s="74" t="s">
        <v>49</v>
      </c>
      <c r="E16" s="74">
        <f>82.26/2</f>
        <v>41.13</v>
      </c>
      <c r="F16" s="28">
        <v>100</v>
      </c>
      <c r="G16" s="28">
        <f>100/2</f>
        <v>50</v>
      </c>
      <c r="H16" s="26"/>
      <c r="I16" s="26"/>
      <c r="J16" s="26"/>
      <c r="K16" s="26"/>
      <c r="L16" s="26"/>
      <c r="M16" s="26"/>
      <c r="N16" s="26"/>
      <c r="O16" s="26">
        <f t="shared" si="1"/>
        <v>91.13</v>
      </c>
      <c r="P16" s="26" t="s">
        <v>178</v>
      </c>
    </row>
    <row r="17" spans="1:16" s="27" customFormat="1" x14ac:dyDescent="0.3">
      <c r="A17" s="24" t="s">
        <v>212</v>
      </c>
      <c r="B17" s="24" t="s">
        <v>213</v>
      </c>
      <c r="C17" s="24" t="s">
        <v>5</v>
      </c>
      <c r="D17" s="74" t="s">
        <v>46</v>
      </c>
      <c r="E17" s="74">
        <f>79.93/2</f>
        <v>39.965000000000003</v>
      </c>
      <c r="F17" s="25">
        <v>100</v>
      </c>
      <c r="G17" s="28">
        <f>100/2</f>
        <v>50</v>
      </c>
      <c r="H17" s="26"/>
      <c r="I17" s="26"/>
      <c r="J17" s="26"/>
      <c r="K17" s="26"/>
      <c r="L17" s="26"/>
      <c r="M17" s="26"/>
      <c r="N17" s="26"/>
      <c r="O17" s="26">
        <f t="shared" si="1"/>
        <v>89.965000000000003</v>
      </c>
      <c r="P17" s="26" t="s">
        <v>178</v>
      </c>
    </row>
    <row r="18" spans="1:16" s="27" customFormat="1" x14ac:dyDescent="0.3">
      <c r="A18" s="24" t="s">
        <v>214</v>
      </c>
      <c r="B18" s="24" t="s">
        <v>215</v>
      </c>
      <c r="C18" s="24" t="s">
        <v>5</v>
      </c>
      <c r="D18" s="74" t="s">
        <v>65</v>
      </c>
      <c r="E18" s="74">
        <f>94.86/2</f>
        <v>47.43</v>
      </c>
      <c r="F18" s="25">
        <v>82.5</v>
      </c>
      <c r="G18" s="28">
        <f>82.5/2</f>
        <v>41.25</v>
      </c>
      <c r="H18" s="26"/>
      <c r="I18" s="26"/>
      <c r="J18" s="26"/>
      <c r="K18" s="26"/>
      <c r="L18" s="26"/>
      <c r="M18" s="26"/>
      <c r="N18" s="26"/>
      <c r="O18" s="26">
        <f t="shared" si="1"/>
        <v>88.68</v>
      </c>
      <c r="P18" s="26" t="s">
        <v>178</v>
      </c>
    </row>
    <row r="19" spans="1:16" s="27" customFormat="1" x14ac:dyDescent="0.3">
      <c r="A19" s="24" t="s">
        <v>216</v>
      </c>
      <c r="B19" s="24" t="s">
        <v>217</v>
      </c>
      <c r="C19" s="24" t="s">
        <v>5</v>
      </c>
      <c r="D19" s="74" t="s">
        <v>64</v>
      </c>
      <c r="E19" s="74">
        <f>79.7/2</f>
        <v>39.85</v>
      </c>
      <c r="F19" s="25">
        <v>97.5</v>
      </c>
      <c r="G19" s="28">
        <f>97.5/2</f>
        <v>48.75</v>
      </c>
      <c r="H19" s="26"/>
      <c r="I19" s="26"/>
      <c r="J19" s="26"/>
      <c r="K19" s="26"/>
      <c r="L19" s="26"/>
      <c r="M19" s="26"/>
      <c r="N19" s="26"/>
      <c r="O19" s="26">
        <f t="shared" si="1"/>
        <v>88.6</v>
      </c>
      <c r="P19" s="26" t="s">
        <v>178</v>
      </c>
    </row>
    <row r="20" spans="1:16" s="27" customFormat="1" x14ac:dyDescent="0.3">
      <c r="A20" s="24" t="s">
        <v>218</v>
      </c>
      <c r="B20" s="24" t="s">
        <v>219</v>
      </c>
      <c r="C20" s="24" t="s">
        <v>5</v>
      </c>
      <c r="D20" s="74" t="s">
        <v>57</v>
      </c>
      <c r="E20" s="74">
        <f>92.06/2</f>
        <v>46.03</v>
      </c>
      <c r="F20" s="25">
        <v>85</v>
      </c>
      <c r="G20" s="28">
        <f>85/2</f>
        <v>42.5</v>
      </c>
      <c r="H20" s="26"/>
      <c r="I20" s="26"/>
      <c r="J20" s="26"/>
      <c r="K20" s="26"/>
      <c r="L20" s="26"/>
      <c r="M20" s="26"/>
      <c r="N20" s="26"/>
      <c r="O20" s="26">
        <f t="shared" si="1"/>
        <v>88.53</v>
      </c>
      <c r="P20" s="26" t="s">
        <v>178</v>
      </c>
    </row>
    <row r="21" spans="1:16" s="27" customFormat="1" x14ac:dyDescent="0.3">
      <c r="A21" s="24" t="s">
        <v>220</v>
      </c>
      <c r="B21" s="24" t="s">
        <v>221</v>
      </c>
      <c r="C21" s="24" t="s">
        <v>5</v>
      </c>
      <c r="D21" s="74" t="s">
        <v>51</v>
      </c>
      <c r="E21" s="74">
        <f>92.3/2</f>
        <v>46.15</v>
      </c>
      <c r="F21" s="28">
        <v>82.5</v>
      </c>
      <c r="G21" s="28">
        <f>82.5/2</f>
        <v>41.25</v>
      </c>
      <c r="H21" s="26"/>
      <c r="I21" s="26"/>
      <c r="J21" s="26"/>
      <c r="K21" s="26"/>
      <c r="L21" s="26"/>
      <c r="M21" s="26"/>
      <c r="N21" s="26"/>
      <c r="O21" s="26">
        <f t="shared" si="1"/>
        <v>87.4</v>
      </c>
      <c r="P21" s="26" t="s">
        <v>178</v>
      </c>
    </row>
    <row r="22" spans="1:16" s="27" customFormat="1" x14ac:dyDescent="0.3">
      <c r="A22" s="24" t="s">
        <v>222</v>
      </c>
      <c r="B22" s="24" t="s">
        <v>223</v>
      </c>
      <c r="C22" s="24" t="s">
        <v>5</v>
      </c>
      <c r="D22" s="74" t="s">
        <v>56</v>
      </c>
      <c r="E22" s="74">
        <f>83.9/2</f>
        <v>41.95</v>
      </c>
      <c r="F22" s="25">
        <v>87.5</v>
      </c>
      <c r="G22" s="28">
        <f>87.5/2</f>
        <v>43.75</v>
      </c>
      <c r="H22" s="26"/>
      <c r="I22" s="26"/>
      <c r="J22" s="26"/>
      <c r="K22" s="26"/>
      <c r="L22" s="26"/>
      <c r="M22" s="26"/>
      <c r="N22" s="26"/>
      <c r="O22" s="26">
        <f t="shared" si="1"/>
        <v>85.7</v>
      </c>
      <c r="P22" s="26" t="s">
        <v>178</v>
      </c>
    </row>
    <row r="23" spans="1:16" s="27" customFormat="1" x14ac:dyDescent="0.3">
      <c r="A23" s="24" t="s">
        <v>224</v>
      </c>
      <c r="B23" s="24" t="s">
        <v>225</v>
      </c>
      <c r="C23" s="24" t="s">
        <v>5</v>
      </c>
      <c r="D23" s="74" t="s">
        <v>55</v>
      </c>
      <c r="E23" s="74">
        <f>73.4/2</f>
        <v>36.700000000000003</v>
      </c>
      <c r="F23" s="25">
        <v>97.5</v>
      </c>
      <c r="G23" s="28">
        <f>97.5/2</f>
        <v>48.75</v>
      </c>
      <c r="H23" s="26"/>
      <c r="I23" s="26"/>
      <c r="J23" s="26"/>
      <c r="K23" s="26"/>
      <c r="L23" s="26"/>
      <c r="M23" s="26"/>
      <c r="N23" s="26"/>
      <c r="O23" s="26">
        <f t="shared" si="1"/>
        <v>85.45</v>
      </c>
      <c r="P23" s="26" t="s">
        <v>178</v>
      </c>
    </row>
    <row r="24" spans="1:16" s="27" customFormat="1" x14ac:dyDescent="0.3">
      <c r="A24" s="24" t="s">
        <v>226</v>
      </c>
      <c r="B24" s="24" t="s">
        <v>227</v>
      </c>
      <c r="C24" s="24" t="s">
        <v>5</v>
      </c>
      <c r="D24" s="74" t="s">
        <v>43</v>
      </c>
      <c r="E24" s="74">
        <f>79/2</f>
        <v>39.5</v>
      </c>
      <c r="F24" s="28">
        <v>90</v>
      </c>
      <c r="G24" s="28">
        <f>90/2</f>
        <v>45</v>
      </c>
      <c r="H24" s="26"/>
      <c r="I24" s="26"/>
      <c r="J24" s="26"/>
      <c r="K24" s="26"/>
      <c r="L24" s="26"/>
      <c r="M24" s="26"/>
      <c r="N24" s="26"/>
      <c r="O24" s="26">
        <f t="shared" si="1"/>
        <v>84.5</v>
      </c>
      <c r="P24" s="26" t="s">
        <v>178</v>
      </c>
    </row>
    <row r="25" spans="1:16" s="27" customFormat="1" x14ac:dyDescent="0.3">
      <c r="A25" s="24" t="s">
        <v>228</v>
      </c>
      <c r="B25" s="24" t="s">
        <v>229</v>
      </c>
      <c r="C25" s="24" t="s">
        <v>5</v>
      </c>
      <c r="D25" s="74" t="s">
        <v>67</v>
      </c>
      <c r="E25" s="74">
        <f>80.4/2</f>
        <v>40.200000000000003</v>
      </c>
      <c r="F25" s="28">
        <v>85</v>
      </c>
      <c r="G25" s="28">
        <f>85/2</f>
        <v>42.5</v>
      </c>
      <c r="H25" s="26"/>
      <c r="I25" s="26"/>
      <c r="J25" s="26"/>
      <c r="K25" s="26"/>
      <c r="L25" s="26"/>
      <c r="M25" s="26"/>
      <c r="N25" s="26"/>
      <c r="O25" s="26">
        <f t="shared" si="1"/>
        <v>82.7</v>
      </c>
      <c r="P25" s="26" t="s">
        <v>178</v>
      </c>
    </row>
    <row r="26" spans="1:16" s="27" customFormat="1" x14ac:dyDescent="0.3">
      <c r="A26" s="24" t="s">
        <v>230</v>
      </c>
      <c r="B26" s="24" t="s">
        <v>231</v>
      </c>
      <c r="C26" s="24" t="s">
        <v>5</v>
      </c>
      <c r="D26" s="74" t="s">
        <v>54</v>
      </c>
      <c r="E26" s="74">
        <f>71.76/2</f>
        <v>35.880000000000003</v>
      </c>
      <c r="F26" s="25">
        <v>92.5</v>
      </c>
      <c r="G26" s="28">
        <f>92.5/2</f>
        <v>46.25</v>
      </c>
      <c r="H26" s="26"/>
      <c r="I26" s="26"/>
      <c r="J26" s="26"/>
      <c r="K26" s="26"/>
      <c r="L26" s="26"/>
      <c r="M26" s="26"/>
      <c r="N26" s="26"/>
      <c r="O26" s="26">
        <f t="shared" si="1"/>
        <v>82.13</v>
      </c>
      <c r="P26" s="26" t="s">
        <v>178</v>
      </c>
    </row>
    <row r="27" spans="1:16" s="27" customFormat="1" x14ac:dyDescent="0.3">
      <c r="A27" s="24" t="s">
        <v>232</v>
      </c>
      <c r="B27" s="24" t="s">
        <v>233</v>
      </c>
      <c r="C27" s="24" t="s">
        <v>5</v>
      </c>
      <c r="D27" s="74" t="s">
        <v>48</v>
      </c>
      <c r="E27" s="74">
        <f>82.96/2</f>
        <v>41.48</v>
      </c>
      <c r="F27" s="25">
        <v>80</v>
      </c>
      <c r="G27" s="28">
        <f>80/2</f>
        <v>40</v>
      </c>
      <c r="H27" s="26"/>
      <c r="I27" s="26"/>
      <c r="J27" s="26"/>
      <c r="K27" s="26"/>
      <c r="L27" s="26"/>
      <c r="M27" s="26"/>
      <c r="N27" s="26"/>
      <c r="O27" s="26">
        <f t="shared" si="1"/>
        <v>81.47999999999999</v>
      </c>
      <c r="P27" s="26" t="s">
        <v>178</v>
      </c>
    </row>
    <row r="28" spans="1:16" s="27" customFormat="1" x14ac:dyDescent="0.3">
      <c r="A28" s="24" t="s">
        <v>234</v>
      </c>
      <c r="B28" s="24" t="s">
        <v>235</v>
      </c>
      <c r="C28" s="24" t="s">
        <v>5</v>
      </c>
      <c r="D28" s="74" t="s">
        <v>61</v>
      </c>
      <c r="E28" s="74">
        <f>74.8/2</f>
        <v>37.4</v>
      </c>
      <c r="F28" s="25">
        <v>87.5</v>
      </c>
      <c r="G28" s="28">
        <f>87.5/2</f>
        <v>43.75</v>
      </c>
      <c r="H28" s="26"/>
      <c r="I28" s="26"/>
      <c r="J28" s="26"/>
      <c r="K28" s="26"/>
      <c r="L28" s="26"/>
      <c r="M28" s="26"/>
      <c r="N28" s="26"/>
      <c r="O28" s="26">
        <f t="shared" si="1"/>
        <v>81.150000000000006</v>
      </c>
      <c r="P28" s="26" t="s">
        <v>178</v>
      </c>
    </row>
    <row r="29" spans="1:16" s="27" customFormat="1" x14ac:dyDescent="0.3">
      <c r="A29" s="24" t="s">
        <v>236</v>
      </c>
      <c r="B29" s="24" t="s">
        <v>237</v>
      </c>
      <c r="C29" s="24" t="s">
        <v>5</v>
      </c>
      <c r="D29" s="74" t="s">
        <v>66</v>
      </c>
      <c r="E29" s="74">
        <f>86.93/2</f>
        <v>43.465000000000003</v>
      </c>
      <c r="F29" s="25">
        <v>75</v>
      </c>
      <c r="G29" s="28">
        <f>75/2</f>
        <v>37.5</v>
      </c>
      <c r="H29" s="26"/>
      <c r="I29" s="26"/>
      <c r="J29" s="26"/>
      <c r="K29" s="26"/>
      <c r="L29" s="26"/>
      <c r="M29" s="26"/>
      <c r="N29" s="26"/>
      <c r="O29" s="26">
        <f t="shared" si="1"/>
        <v>80.965000000000003</v>
      </c>
      <c r="P29" s="26" t="s">
        <v>178</v>
      </c>
    </row>
    <row r="30" spans="1:16" s="27" customFormat="1" x14ac:dyDescent="0.3">
      <c r="A30" s="24" t="s">
        <v>238</v>
      </c>
      <c r="B30" s="24" t="s">
        <v>239</v>
      </c>
      <c r="C30" s="24" t="s">
        <v>5</v>
      </c>
      <c r="D30" s="74" t="s">
        <v>53</v>
      </c>
      <c r="E30" s="74">
        <f>71.53/2</f>
        <v>35.765000000000001</v>
      </c>
      <c r="F30" s="25">
        <v>90</v>
      </c>
      <c r="G30" s="28">
        <f>90/2</f>
        <v>45</v>
      </c>
      <c r="H30" s="26"/>
      <c r="I30" s="26"/>
      <c r="J30" s="26"/>
      <c r="K30" s="26"/>
      <c r="L30" s="26"/>
      <c r="M30" s="26"/>
      <c r="N30" s="26"/>
      <c r="O30" s="26">
        <f t="shared" si="1"/>
        <v>80.765000000000001</v>
      </c>
      <c r="P30" s="26" t="s">
        <v>178</v>
      </c>
    </row>
    <row r="31" spans="1:16" s="27" customFormat="1" x14ac:dyDescent="0.3">
      <c r="A31" s="24" t="s">
        <v>240</v>
      </c>
      <c r="B31" s="24" t="s">
        <v>241</v>
      </c>
      <c r="C31" s="24" t="s">
        <v>5</v>
      </c>
      <c r="D31" s="74" t="s">
        <v>68</v>
      </c>
      <c r="E31" s="74">
        <f>82.03/2</f>
        <v>41.015000000000001</v>
      </c>
      <c r="F31" s="25">
        <v>77.5</v>
      </c>
      <c r="G31" s="28">
        <f>77.5/2</f>
        <v>38.75</v>
      </c>
      <c r="H31" s="26"/>
      <c r="I31" s="26"/>
      <c r="J31" s="26"/>
      <c r="K31" s="26"/>
      <c r="L31" s="26"/>
      <c r="M31" s="26"/>
      <c r="N31" s="26"/>
      <c r="O31" s="26">
        <f t="shared" ref="O31" si="2">E31+G31</f>
        <v>79.765000000000001</v>
      </c>
      <c r="P31" s="26" t="s">
        <v>178</v>
      </c>
    </row>
    <row r="32" spans="1:16" s="27" customFormat="1" x14ac:dyDescent="0.3">
      <c r="A32" s="24" t="s">
        <v>242</v>
      </c>
      <c r="B32" s="24" t="s">
        <v>243</v>
      </c>
      <c r="C32" s="24" t="s">
        <v>5</v>
      </c>
      <c r="D32" s="74" t="s">
        <v>60</v>
      </c>
      <c r="E32" s="74">
        <f>78.53/2</f>
        <v>39.265000000000001</v>
      </c>
      <c r="F32" s="28">
        <v>77.5</v>
      </c>
      <c r="G32" s="28">
        <f>77.5/2</f>
        <v>38.75</v>
      </c>
      <c r="H32" s="26"/>
      <c r="I32" s="26"/>
      <c r="J32" s="26"/>
      <c r="K32" s="26"/>
      <c r="L32" s="26"/>
      <c r="M32" s="26"/>
      <c r="N32" s="26"/>
      <c r="O32" s="26">
        <f>E32+G32</f>
        <v>78.015000000000001</v>
      </c>
      <c r="P32" s="26" t="s">
        <v>178</v>
      </c>
    </row>
    <row r="33" spans="1:16" s="27" customFormat="1" x14ac:dyDescent="0.3">
      <c r="A33" s="24" t="s">
        <v>244</v>
      </c>
      <c r="B33" s="24" t="s">
        <v>245</v>
      </c>
      <c r="C33" s="24" t="s">
        <v>5</v>
      </c>
      <c r="D33" s="74" t="s">
        <v>59</v>
      </c>
      <c r="E33" s="74">
        <f>67.8/2</f>
        <v>33.9</v>
      </c>
      <c r="F33" s="28">
        <v>77.5</v>
      </c>
      <c r="G33" s="28">
        <f>77.5/2</f>
        <v>38.75</v>
      </c>
      <c r="H33" s="26"/>
      <c r="I33" s="26"/>
      <c r="J33" s="26"/>
      <c r="K33" s="26"/>
      <c r="L33" s="26"/>
      <c r="M33" s="26"/>
      <c r="N33" s="26"/>
      <c r="O33" s="26">
        <f>E33+G33</f>
        <v>72.650000000000006</v>
      </c>
      <c r="P33" s="26" t="s">
        <v>178</v>
      </c>
    </row>
    <row r="34" spans="1:16" s="27" customFormat="1" x14ac:dyDescent="0.3">
      <c r="A34" s="24" t="s">
        <v>246</v>
      </c>
      <c r="B34" s="24" t="s">
        <v>247</v>
      </c>
      <c r="C34" s="24" t="s">
        <v>5</v>
      </c>
      <c r="D34" s="74" t="s">
        <v>63</v>
      </c>
      <c r="E34" s="74">
        <f>77.83/2</f>
        <v>38.914999999999999</v>
      </c>
      <c r="F34" s="25">
        <v>85</v>
      </c>
      <c r="G34" s="28">
        <f>85/2</f>
        <v>42.5</v>
      </c>
      <c r="H34" s="26"/>
      <c r="I34" s="26"/>
      <c r="J34" s="26"/>
      <c r="K34" s="26"/>
      <c r="L34" s="26"/>
      <c r="M34" s="26"/>
      <c r="N34" s="26">
        <v>-10</v>
      </c>
      <c r="O34" s="26">
        <f>E34+G34+N34</f>
        <v>71.414999999999992</v>
      </c>
      <c r="P34" s="26" t="s">
        <v>178</v>
      </c>
    </row>
    <row r="35" spans="1:16" s="27" customFormat="1" x14ac:dyDescent="0.3">
      <c r="A35" s="24" t="s">
        <v>248</v>
      </c>
      <c r="B35" s="24" t="s">
        <v>249</v>
      </c>
      <c r="C35" s="24" t="s">
        <v>5</v>
      </c>
      <c r="D35" s="74" t="s">
        <v>58</v>
      </c>
      <c r="E35" s="74">
        <f>63.6/2</f>
        <v>31.8</v>
      </c>
      <c r="F35" s="25">
        <v>72.5</v>
      </c>
      <c r="G35" s="28">
        <f>72.5/2</f>
        <v>36.25</v>
      </c>
      <c r="H35" s="26"/>
      <c r="I35" s="26"/>
      <c r="J35" s="26"/>
      <c r="K35" s="26"/>
      <c r="L35" s="26"/>
      <c r="M35" s="26"/>
      <c r="N35" s="26"/>
      <c r="O35" s="26">
        <f t="shared" si="0"/>
        <v>68.05</v>
      </c>
      <c r="P35" s="26" t="s">
        <v>178</v>
      </c>
    </row>
    <row r="36" spans="1:16" s="32" customFormat="1" x14ac:dyDescent="0.3">
      <c r="A36" s="29" t="s">
        <v>250</v>
      </c>
      <c r="B36" s="29" t="s">
        <v>251</v>
      </c>
      <c r="C36" s="29" t="s">
        <v>8</v>
      </c>
      <c r="D36" s="75" t="s">
        <v>70</v>
      </c>
      <c r="E36" s="75">
        <f>89.26/2</f>
        <v>44.63</v>
      </c>
      <c r="F36" s="33">
        <v>87.5</v>
      </c>
      <c r="G36" s="30">
        <f>87.5/2</f>
        <v>43.75</v>
      </c>
      <c r="H36" s="31">
        <v>10</v>
      </c>
      <c r="I36" s="31"/>
      <c r="J36" s="31"/>
      <c r="K36" s="31"/>
      <c r="L36" s="31"/>
      <c r="M36" s="31"/>
      <c r="N36" s="31"/>
      <c r="O36" s="31">
        <f>E36+G36+H36</f>
        <v>98.38</v>
      </c>
      <c r="P36" s="31" t="s">
        <v>179</v>
      </c>
    </row>
    <row r="37" spans="1:16" s="32" customFormat="1" x14ac:dyDescent="0.3">
      <c r="A37" s="29" t="s">
        <v>252</v>
      </c>
      <c r="B37" s="29" t="s">
        <v>253</v>
      </c>
      <c r="C37" s="29" t="s">
        <v>8</v>
      </c>
      <c r="D37" s="75" t="s">
        <v>72</v>
      </c>
      <c r="E37" s="75">
        <f>95.56/2</f>
        <v>47.78</v>
      </c>
      <c r="F37" s="33">
        <v>90</v>
      </c>
      <c r="G37" s="30">
        <f>90/2</f>
        <v>45</v>
      </c>
      <c r="H37" s="31"/>
      <c r="I37" s="31"/>
      <c r="J37" s="31"/>
      <c r="K37" s="31"/>
      <c r="L37" s="31"/>
      <c r="M37" s="31"/>
      <c r="N37" s="31"/>
      <c r="O37" s="31">
        <f>E37+G37</f>
        <v>92.78</v>
      </c>
      <c r="P37" s="31" t="s">
        <v>178</v>
      </c>
    </row>
    <row r="38" spans="1:16" s="32" customFormat="1" x14ac:dyDescent="0.3">
      <c r="A38" s="29" t="s">
        <v>254</v>
      </c>
      <c r="B38" s="29" t="s">
        <v>255</v>
      </c>
      <c r="C38" s="29" t="s">
        <v>8</v>
      </c>
      <c r="D38" s="75" t="s">
        <v>73</v>
      </c>
      <c r="E38" s="75">
        <f>82.73/2</f>
        <v>41.365000000000002</v>
      </c>
      <c r="F38" s="33">
        <v>72.5</v>
      </c>
      <c r="G38" s="30">
        <f>72.5/2</f>
        <v>36.25</v>
      </c>
      <c r="H38" s="31"/>
      <c r="I38" s="31"/>
      <c r="J38" s="31"/>
      <c r="K38" s="31"/>
      <c r="L38" s="31"/>
      <c r="M38" s="31"/>
      <c r="N38" s="31"/>
      <c r="O38" s="31">
        <f>E38+G38</f>
        <v>77.615000000000009</v>
      </c>
      <c r="P38" s="31" t="s">
        <v>178</v>
      </c>
    </row>
    <row r="39" spans="1:16" s="32" customFormat="1" x14ac:dyDescent="0.3">
      <c r="A39" s="29" t="s">
        <v>256</v>
      </c>
      <c r="B39" s="29" t="s">
        <v>237</v>
      </c>
      <c r="C39" s="29" t="s">
        <v>8</v>
      </c>
      <c r="D39" s="75" t="s">
        <v>63</v>
      </c>
      <c r="E39" s="75">
        <f>77.83/2</f>
        <v>38.914999999999999</v>
      </c>
      <c r="F39" s="33">
        <v>72.5</v>
      </c>
      <c r="G39" s="30">
        <f>72.5/2</f>
        <v>36.25</v>
      </c>
      <c r="H39" s="31"/>
      <c r="I39" s="31"/>
      <c r="J39" s="31"/>
      <c r="K39" s="31"/>
      <c r="L39" s="31"/>
      <c r="M39" s="31"/>
      <c r="N39" s="31"/>
      <c r="O39" s="31">
        <f>E39+G39</f>
        <v>75.164999999999992</v>
      </c>
      <c r="P39" s="31" t="s">
        <v>178</v>
      </c>
    </row>
    <row r="40" spans="1:16" s="32" customFormat="1" x14ac:dyDescent="0.3">
      <c r="A40" s="29" t="s">
        <v>257</v>
      </c>
      <c r="B40" s="29" t="s">
        <v>258</v>
      </c>
      <c r="C40" s="29" t="s">
        <v>8</v>
      </c>
      <c r="D40" s="75" t="s">
        <v>69</v>
      </c>
      <c r="E40" s="75">
        <f>74.1/2</f>
        <v>37.049999999999997</v>
      </c>
      <c r="F40" s="30">
        <v>85</v>
      </c>
      <c r="G40" s="30">
        <f>85/2</f>
        <v>42.5</v>
      </c>
      <c r="H40" s="31"/>
      <c r="I40" s="31"/>
      <c r="J40" s="31"/>
      <c r="K40" s="31"/>
      <c r="L40" s="31"/>
      <c r="M40" s="31"/>
      <c r="N40" s="31">
        <v>-10</v>
      </c>
      <c r="O40" s="31">
        <f>E40+G40+N40</f>
        <v>69.55</v>
      </c>
      <c r="P40" s="31" t="s">
        <v>178</v>
      </c>
    </row>
    <row r="41" spans="1:16" s="18" customFormat="1" x14ac:dyDescent="0.3">
      <c r="A41" s="15" t="s">
        <v>259</v>
      </c>
      <c r="B41" s="15" t="s">
        <v>260</v>
      </c>
      <c r="C41" s="15" t="s">
        <v>25</v>
      </c>
      <c r="D41" s="34" t="s">
        <v>74</v>
      </c>
      <c r="E41" s="34">
        <f>100/2</f>
        <v>50</v>
      </c>
      <c r="F41" s="16">
        <v>90</v>
      </c>
      <c r="G41" s="19">
        <f>90/2</f>
        <v>45</v>
      </c>
      <c r="H41" s="17"/>
      <c r="I41" s="17"/>
      <c r="J41" s="17"/>
      <c r="K41" s="17"/>
      <c r="L41" s="17"/>
      <c r="M41" s="17"/>
      <c r="N41" s="17"/>
      <c r="O41" s="17">
        <f>E41+G41</f>
        <v>95</v>
      </c>
      <c r="P41" s="17" t="s">
        <v>179</v>
      </c>
    </row>
    <row r="42" spans="1:16" s="18" customFormat="1" x14ac:dyDescent="0.3">
      <c r="A42" s="15" t="s">
        <v>261</v>
      </c>
      <c r="B42" s="15" t="s">
        <v>262</v>
      </c>
      <c r="C42" s="15" t="s">
        <v>25</v>
      </c>
      <c r="D42" s="34" t="s">
        <v>74</v>
      </c>
      <c r="E42" s="34">
        <f>100/2</f>
        <v>50</v>
      </c>
      <c r="F42" s="19">
        <v>85</v>
      </c>
      <c r="G42" s="19">
        <f>85/2</f>
        <v>42.5</v>
      </c>
      <c r="H42" s="17"/>
      <c r="I42" s="17"/>
      <c r="J42" s="17"/>
      <c r="K42" s="17"/>
      <c r="L42" s="17"/>
      <c r="M42" s="17"/>
      <c r="N42" s="17"/>
      <c r="O42" s="17">
        <f>E42+G42</f>
        <v>92.5</v>
      </c>
      <c r="P42" s="17" t="s">
        <v>178</v>
      </c>
    </row>
    <row r="43" spans="1:16" s="18" customFormat="1" x14ac:dyDescent="0.3">
      <c r="A43" s="15" t="s">
        <v>263</v>
      </c>
      <c r="B43" s="15" t="s">
        <v>264</v>
      </c>
      <c r="C43" s="15" t="s">
        <v>25</v>
      </c>
      <c r="D43" s="34" t="s">
        <v>76</v>
      </c>
      <c r="E43" s="34">
        <f>99.06/2</f>
        <v>49.53</v>
      </c>
      <c r="F43" s="34">
        <v>85</v>
      </c>
      <c r="G43" s="19">
        <f>85/2</f>
        <v>42.5</v>
      </c>
      <c r="H43" s="17"/>
      <c r="I43" s="17"/>
      <c r="J43" s="17"/>
      <c r="K43" s="17"/>
      <c r="L43" s="17"/>
      <c r="M43" s="17"/>
      <c r="N43" s="17"/>
      <c r="O43" s="17">
        <f>E43+G43</f>
        <v>92.03</v>
      </c>
      <c r="P43" s="17" t="s">
        <v>178</v>
      </c>
    </row>
    <row r="44" spans="1:16" s="18" customFormat="1" x14ac:dyDescent="0.3">
      <c r="A44" s="15" t="s">
        <v>265</v>
      </c>
      <c r="B44" s="15" t="s">
        <v>266</v>
      </c>
      <c r="C44" s="15" t="s">
        <v>25</v>
      </c>
      <c r="D44" s="34" t="s">
        <v>75</v>
      </c>
      <c r="E44" s="34">
        <f>95.8/2</f>
        <v>47.9</v>
      </c>
      <c r="F44" s="34" t="s">
        <v>163</v>
      </c>
      <c r="G44" s="19">
        <f>86.25/2</f>
        <v>43.125</v>
      </c>
      <c r="H44" s="17"/>
      <c r="I44" s="17"/>
      <c r="J44" s="17"/>
      <c r="K44" s="17"/>
      <c r="L44" s="17"/>
      <c r="M44" s="17"/>
      <c r="N44" s="17"/>
      <c r="O44" s="17">
        <f>E44+G44</f>
        <v>91.025000000000006</v>
      </c>
      <c r="P44" s="17" t="s">
        <v>178</v>
      </c>
    </row>
    <row r="45" spans="1:16" s="18" customFormat="1" x14ac:dyDescent="0.3">
      <c r="A45" s="15" t="s">
        <v>267</v>
      </c>
      <c r="B45" s="15" t="s">
        <v>268</v>
      </c>
      <c r="C45" s="15" t="s">
        <v>25</v>
      </c>
      <c r="D45" s="34" t="s">
        <v>80</v>
      </c>
      <c r="E45" s="34">
        <f>83.43/2</f>
        <v>41.715000000000003</v>
      </c>
      <c r="F45" s="34" t="s">
        <v>167</v>
      </c>
      <c r="G45" s="19">
        <f>72.5/2</f>
        <v>36.25</v>
      </c>
      <c r="H45" s="17"/>
      <c r="I45" s="17"/>
      <c r="J45" s="17">
        <v>10</v>
      </c>
      <c r="K45" s="17"/>
      <c r="L45" s="17"/>
      <c r="M45" s="17"/>
      <c r="N45" s="17"/>
      <c r="O45" s="17">
        <f>E45+G45+J45</f>
        <v>87.965000000000003</v>
      </c>
      <c r="P45" s="17" t="s">
        <v>178</v>
      </c>
    </row>
    <row r="46" spans="1:16" s="18" customFormat="1" x14ac:dyDescent="0.3">
      <c r="A46" s="15" t="s">
        <v>269</v>
      </c>
      <c r="B46" s="15" t="s">
        <v>270</v>
      </c>
      <c r="C46" s="15" t="s">
        <v>25</v>
      </c>
      <c r="D46" s="34" t="s">
        <v>78</v>
      </c>
      <c r="E46" s="34">
        <f>99.53/2</f>
        <v>49.765000000000001</v>
      </c>
      <c r="F46" s="34" t="s">
        <v>166</v>
      </c>
      <c r="G46" s="19">
        <f>75/2</f>
        <v>37.5</v>
      </c>
      <c r="H46" s="17"/>
      <c r="I46" s="17"/>
      <c r="J46" s="17"/>
      <c r="K46" s="17"/>
      <c r="L46" s="17"/>
      <c r="M46" s="17"/>
      <c r="N46" s="17"/>
      <c r="O46" s="17">
        <f>E46+G46</f>
        <v>87.265000000000001</v>
      </c>
      <c r="P46" s="17" t="s">
        <v>178</v>
      </c>
    </row>
    <row r="47" spans="1:16" s="18" customFormat="1" x14ac:dyDescent="0.3">
      <c r="A47" s="15" t="s">
        <v>271</v>
      </c>
      <c r="B47" s="15" t="s">
        <v>272</v>
      </c>
      <c r="C47" s="15" t="s">
        <v>25</v>
      </c>
      <c r="D47" s="34" t="s">
        <v>76</v>
      </c>
      <c r="E47" s="34">
        <f>99.06/2</f>
        <v>49.53</v>
      </c>
      <c r="F47" s="34" t="s">
        <v>165</v>
      </c>
      <c r="G47" s="19">
        <f>73.75/2</f>
        <v>36.875</v>
      </c>
      <c r="H47" s="17"/>
      <c r="I47" s="17"/>
      <c r="J47" s="17"/>
      <c r="K47" s="17"/>
      <c r="L47" s="17"/>
      <c r="M47" s="17"/>
      <c r="N47" s="17"/>
      <c r="O47" s="17">
        <f>E47+G47</f>
        <v>86.405000000000001</v>
      </c>
      <c r="P47" s="17" t="s">
        <v>178</v>
      </c>
    </row>
    <row r="48" spans="1:16" s="18" customFormat="1" x14ac:dyDescent="0.3">
      <c r="A48" s="15" t="s">
        <v>273</v>
      </c>
      <c r="B48" s="15" t="s">
        <v>274</v>
      </c>
      <c r="C48" s="15" t="s">
        <v>25</v>
      </c>
      <c r="D48" s="34" t="s">
        <v>77</v>
      </c>
      <c r="E48" s="34">
        <f>98.6/2</f>
        <v>49.3</v>
      </c>
      <c r="F48" s="34" t="s">
        <v>164</v>
      </c>
      <c r="G48" s="19">
        <f>70/2</f>
        <v>35</v>
      </c>
      <c r="H48" s="17"/>
      <c r="I48" s="17"/>
      <c r="J48" s="17"/>
      <c r="K48" s="17"/>
      <c r="L48" s="17"/>
      <c r="M48" s="17"/>
      <c r="N48" s="17"/>
      <c r="O48" s="17">
        <f>E48+G48</f>
        <v>84.3</v>
      </c>
      <c r="P48" s="17" t="s">
        <v>178</v>
      </c>
    </row>
    <row r="49" spans="1:16" s="18" customFormat="1" x14ac:dyDescent="0.3">
      <c r="A49" s="15" t="s">
        <v>275</v>
      </c>
      <c r="B49" s="15" t="s">
        <v>276</v>
      </c>
      <c r="C49" s="15" t="s">
        <v>25</v>
      </c>
      <c r="D49" s="34" t="s">
        <v>51</v>
      </c>
      <c r="E49" s="34">
        <f>92.3/2</f>
        <v>46.15</v>
      </c>
      <c r="F49" s="34" t="s">
        <v>165</v>
      </c>
      <c r="G49" s="19">
        <f>73.75/2</f>
        <v>36.875</v>
      </c>
      <c r="H49" s="17"/>
      <c r="I49" s="17"/>
      <c r="J49" s="17"/>
      <c r="K49" s="17"/>
      <c r="L49" s="17"/>
      <c r="M49" s="17"/>
      <c r="N49" s="17"/>
      <c r="O49" s="17">
        <f>E49+G49</f>
        <v>83.025000000000006</v>
      </c>
      <c r="P49" s="17" t="s">
        <v>178</v>
      </c>
    </row>
    <row r="50" spans="1:16" s="18" customFormat="1" x14ac:dyDescent="0.3">
      <c r="A50" s="15" t="s">
        <v>277</v>
      </c>
      <c r="B50" s="15" t="s">
        <v>278</v>
      </c>
      <c r="C50" s="15" t="s">
        <v>25</v>
      </c>
      <c r="D50" s="34" t="s">
        <v>79</v>
      </c>
      <c r="E50" s="34">
        <f>90.43/2</f>
        <v>45.215000000000003</v>
      </c>
      <c r="F50" s="34">
        <v>75</v>
      </c>
      <c r="G50" s="19">
        <f>75/2</f>
        <v>37.5</v>
      </c>
      <c r="H50" s="17"/>
      <c r="I50" s="17"/>
      <c r="J50" s="17"/>
      <c r="K50" s="17"/>
      <c r="L50" s="17"/>
      <c r="M50" s="17"/>
      <c r="N50" s="17"/>
      <c r="O50" s="17">
        <f t="shared" ref="O50" si="3">E50+G50</f>
        <v>82.715000000000003</v>
      </c>
      <c r="P50" s="17" t="s">
        <v>178</v>
      </c>
    </row>
    <row r="51" spans="1:16" s="42" customFormat="1" x14ac:dyDescent="0.3">
      <c r="A51" s="39" t="s">
        <v>279</v>
      </c>
      <c r="B51" s="39" t="s">
        <v>280</v>
      </c>
      <c r="C51" s="39" t="s">
        <v>17</v>
      </c>
      <c r="D51" s="76" t="s">
        <v>87</v>
      </c>
      <c r="E51" s="76">
        <f>91.83/2</f>
        <v>45.914999999999999</v>
      </c>
      <c r="F51" s="40">
        <v>97.5</v>
      </c>
      <c r="G51" s="43">
        <f>97.5/2</f>
        <v>48.75</v>
      </c>
      <c r="H51" s="41">
        <v>10</v>
      </c>
      <c r="I51" s="41"/>
      <c r="J51" s="41"/>
      <c r="K51" s="41"/>
      <c r="L51" s="41"/>
      <c r="M51" s="41"/>
      <c r="N51" s="41"/>
      <c r="O51" s="41">
        <f>E51+G51+H51</f>
        <v>104.66499999999999</v>
      </c>
      <c r="P51" s="41" t="s">
        <v>179</v>
      </c>
    </row>
    <row r="52" spans="1:16" s="42" customFormat="1" x14ac:dyDescent="0.3">
      <c r="A52" s="39" t="s">
        <v>281</v>
      </c>
      <c r="B52" s="39" t="s">
        <v>282</v>
      </c>
      <c r="C52" s="39" t="s">
        <v>17</v>
      </c>
      <c r="D52" s="76" t="s">
        <v>79</v>
      </c>
      <c r="E52" s="76">
        <f>90.43/2</f>
        <v>45.215000000000003</v>
      </c>
      <c r="F52" s="43">
        <v>95</v>
      </c>
      <c r="G52" s="43">
        <f>95/2</f>
        <v>47.5</v>
      </c>
      <c r="H52" s="41">
        <v>10</v>
      </c>
      <c r="I52" s="41"/>
      <c r="J52" s="41">
        <v>10</v>
      </c>
      <c r="K52" s="41"/>
      <c r="L52" s="41"/>
      <c r="M52" s="41"/>
      <c r="N52" s="41">
        <v>-10</v>
      </c>
      <c r="O52" s="41">
        <f>E52+G52+H52+J52+N52</f>
        <v>102.715</v>
      </c>
      <c r="P52" s="41" t="s">
        <v>178</v>
      </c>
    </row>
    <row r="53" spans="1:16" s="42" customFormat="1" x14ac:dyDescent="0.3">
      <c r="A53" s="39" t="s">
        <v>283</v>
      </c>
      <c r="B53" s="39" t="s">
        <v>284</v>
      </c>
      <c r="C53" s="39" t="s">
        <v>17</v>
      </c>
      <c r="D53" s="76" t="s">
        <v>80</v>
      </c>
      <c r="E53" s="76">
        <f>83.43/2</f>
        <v>41.715000000000003</v>
      </c>
      <c r="F53" s="40">
        <v>95</v>
      </c>
      <c r="G53" s="43">
        <f>95/2</f>
        <v>47.5</v>
      </c>
      <c r="H53" s="41"/>
      <c r="I53" s="41"/>
      <c r="J53" s="41"/>
      <c r="K53" s="41"/>
      <c r="L53" s="41"/>
      <c r="M53" s="41"/>
      <c r="N53" s="41"/>
      <c r="O53" s="41">
        <f t="shared" ref="O53:O67" si="4">E53+G53</f>
        <v>89.215000000000003</v>
      </c>
      <c r="P53" s="41" t="s">
        <v>178</v>
      </c>
    </row>
    <row r="54" spans="1:16" s="42" customFormat="1" x14ac:dyDescent="0.3">
      <c r="A54" s="39" t="s">
        <v>285</v>
      </c>
      <c r="B54" s="39" t="s">
        <v>286</v>
      </c>
      <c r="C54" s="39" t="s">
        <v>17</v>
      </c>
      <c r="D54" s="76" t="s">
        <v>81</v>
      </c>
      <c r="E54" s="76">
        <f>92.53/2</f>
        <v>46.265000000000001</v>
      </c>
      <c r="F54" s="40">
        <v>85</v>
      </c>
      <c r="G54" s="43">
        <f>85/2</f>
        <v>42.5</v>
      </c>
      <c r="H54" s="41"/>
      <c r="I54" s="41"/>
      <c r="J54" s="41"/>
      <c r="K54" s="41"/>
      <c r="L54" s="41"/>
      <c r="M54" s="41"/>
      <c r="N54" s="41"/>
      <c r="O54" s="41">
        <f t="shared" si="4"/>
        <v>88.765000000000001</v>
      </c>
      <c r="P54" s="41" t="s">
        <v>178</v>
      </c>
    </row>
    <row r="55" spans="1:16" s="42" customFormat="1" x14ac:dyDescent="0.3">
      <c r="A55" s="39" t="s">
        <v>287</v>
      </c>
      <c r="B55" s="39" t="s">
        <v>288</v>
      </c>
      <c r="C55" s="39" t="s">
        <v>17</v>
      </c>
      <c r="D55" s="76" t="s">
        <v>86</v>
      </c>
      <c r="E55" s="76">
        <f>81.8/2</f>
        <v>40.9</v>
      </c>
      <c r="F55" s="43">
        <v>87.5</v>
      </c>
      <c r="G55" s="43">
        <f>87.5/2</f>
        <v>43.75</v>
      </c>
      <c r="H55" s="41"/>
      <c r="I55" s="41"/>
      <c r="J55" s="41"/>
      <c r="K55" s="41"/>
      <c r="L55" s="41"/>
      <c r="M55" s="41"/>
      <c r="N55" s="41"/>
      <c r="O55" s="41">
        <f t="shared" si="4"/>
        <v>84.65</v>
      </c>
      <c r="P55" s="41" t="s">
        <v>178</v>
      </c>
    </row>
    <row r="56" spans="1:16" s="42" customFormat="1" x14ac:dyDescent="0.3">
      <c r="A56" s="39" t="s">
        <v>289</v>
      </c>
      <c r="B56" s="39" t="s">
        <v>290</v>
      </c>
      <c r="C56" s="39" t="s">
        <v>17</v>
      </c>
      <c r="D56" s="76" t="s">
        <v>83</v>
      </c>
      <c r="E56" s="76">
        <f>76.43/2</f>
        <v>38.215000000000003</v>
      </c>
      <c r="F56" s="40">
        <v>87.5</v>
      </c>
      <c r="G56" s="43">
        <f>87.5/2</f>
        <v>43.75</v>
      </c>
      <c r="H56" s="41"/>
      <c r="I56" s="41"/>
      <c r="J56" s="41"/>
      <c r="K56" s="41"/>
      <c r="L56" s="41"/>
      <c r="M56" s="41"/>
      <c r="N56" s="41"/>
      <c r="O56" s="41">
        <f t="shared" si="4"/>
        <v>81.965000000000003</v>
      </c>
      <c r="P56" s="41" t="s">
        <v>178</v>
      </c>
    </row>
    <row r="57" spans="1:16" s="42" customFormat="1" x14ac:dyDescent="0.3">
      <c r="A57" s="39" t="s">
        <v>291</v>
      </c>
      <c r="B57" s="39" t="s">
        <v>292</v>
      </c>
      <c r="C57" s="39" t="s">
        <v>17</v>
      </c>
      <c r="D57" s="76" t="s">
        <v>40</v>
      </c>
      <c r="E57" s="76">
        <f>86/2</f>
        <v>43</v>
      </c>
      <c r="F57" s="40">
        <v>77.5</v>
      </c>
      <c r="G57" s="43">
        <f>77.5/2</f>
        <v>38.75</v>
      </c>
      <c r="H57" s="41"/>
      <c r="I57" s="41"/>
      <c r="J57" s="41"/>
      <c r="K57" s="41"/>
      <c r="L57" s="41"/>
      <c r="M57" s="41"/>
      <c r="N57" s="41"/>
      <c r="O57" s="41">
        <f t="shared" si="4"/>
        <v>81.75</v>
      </c>
      <c r="P57" s="41" t="s">
        <v>178</v>
      </c>
    </row>
    <row r="58" spans="1:16" s="42" customFormat="1" x14ac:dyDescent="0.3">
      <c r="A58" s="39" t="s">
        <v>293</v>
      </c>
      <c r="B58" s="39" t="s">
        <v>294</v>
      </c>
      <c r="C58" s="39" t="s">
        <v>17</v>
      </c>
      <c r="D58" s="76" t="s">
        <v>85</v>
      </c>
      <c r="E58" s="76">
        <f>87.86/2</f>
        <v>43.93</v>
      </c>
      <c r="F58" s="40">
        <v>85</v>
      </c>
      <c r="G58" s="43">
        <f>85/2</f>
        <v>42.5</v>
      </c>
      <c r="H58" s="41"/>
      <c r="I58" s="41"/>
      <c r="J58" s="41"/>
      <c r="K58" s="41"/>
      <c r="L58" s="41"/>
      <c r="M58" s="41"/>
      <c r="N58" s="41"/>
      <c r="O58" s="41">
        <f t="shared" si="4"/>
        <v>86.43</v>
      </c>
      <c r="P58" s="41" t="s">
        <v>178</v>
      </c>
    </row>
    <row r="59" spans="1:16" s="42" customFormat="1" x14ac:dyDescent="0.3">
      <c r="A59" s="39" t="s">
        <v>295</v>
      </c>
      <c r="B59" s="39" t="s">
        <v>296</v>
      </c>
      <c r="C59" s="39" t="s">
        <v>17</v>
      </c>
      <c r="D59" s="76" t="s">
        <v>84</v>
      </c>
      <c r="E59" s="76">
        <f>80.16/2</f>
        <v>40.08</v>
      </c>
      <c r="F59" s="40">
        <v>80</v>
      </c>
      <c r="G59" s="43">
        <f>80/2</f>
        <v>40</v>
      </c>
      <c r="H59" s="41"/>
      <c r="I59" s="41"/>
      <c r="J59" s="41"/>
      <c r="K59" s="41"/>
      <c r="L59" s="41"/>
      <c r="M59" s="41"/>
      <c r="N59" s="41"/>
      <c r="O59" s="41">
        <f t="shared" si="4"/>
        <v>80.08</v>
      </c>
      <c r="P59" s="41" t="s">
        <v>178</v>
      </c>
    </row>
    <row r="60" spans="1:16" s="42" customFormat="1" x14ac:dyDescent="0.3">
      <c r="A60" s="39" t="s">
        <v>297</v>
      </c>
      <c r="B60" s="39" t="s">
        <v>298</v>
      </c>
      <c r="C60" s="39" t="s">
        <v>17</v>
      </c>
      <c r="D60" s="76" t="s">
        <v>64</v>
      </c>
      <c r="E60" s="76">
        <f>79.7/2</f>
        <v>39.85</v>
      </c>
      <c r="F60" s="43">
        <v>70</v>
      </c>
      <c r="G60" s="43">
        <f>70/2</f>
        <v>35</v>
      </c>
      <c r="H60" s="41"/>
      <c r="I60" s="41"/>
      <c r="J60" s="41"/>
      <c r="K60" s="41"/>
      <c r="L60" s="41"/>
      <c r="M60" s="41"/>
      <c r="N60" s="41"/>
      <c r="O60" s="41">
        <f t="shared" si="4"/>
        <v>74.849999999999994</v>
      </c>
      <c r="P60" s="41" t="s">
        <v>178</v>
      </c>
    </row>
    <row r="61" spans="1:16" s="42" customFormat="1" x14ac:dyDescent="0.3">
      <c r="A61" s="39" t="s">
        <v>299</v>
      </c>
      <c r="B61" s="39" t="s">
        <v>300</v>
      </c>
      <c r="C61" s="39" t="s">
        <v>17</v>
      </c>
      <c r="D61" s="76" t="s">
        <v>82</v>
      </c>
      <c r="E61" s="76">
        <f>67.1/2</f>
        <v>33.549999999999997</v>
      </c>
      <c r="F61" s="43">
        <v>80</v>
      </c>
      <c r="G61" s="43">
        <f>80/2</f>
        <v>40</v>
      </c>
      <c r="H61" s="41"/>
      <c r="I61" s="41"/>
      <c r="J61" s="41"/>
      <c r="K61" s="41"/>
      <c r="L61" s="41"/>
      <c r="M61" s="41"/>
      <c r="N61" s="41"/>
      <c r="O61" s="41">
        <f t="shared" si="4"/>
        <v>73.55</v>
      </c>
      <c r="P61" s="41" t="s">
        <v>178</v>
      </c>
    </row>
    <row r="62" spans="1:16" s="42" customFormat="1" x14ac:dyDescent="0.3">
      <c r="A62" s="39" t="s">
        <v>301</v>
      </c>
      <c r="B62" s="39" t="s">
        <v>302</v>
      </c>
      <c r="C62" s="39" t="s">
        <v>17</v>
      </c>
      <c r="D62" s="76" t="s">
        <v>89</v>
      </c>
      <c r="E62" s="76">
        <f>65.23/2</f>
        <v>32.615000000000002</v>
      </c>
      <c r="F62" s="43">
        <v>75</v>
      </c>
      <c r="G62" s="43">
        <f>75/2</f>
        <v>37.5</v>
      </c>
      <c r="H62" s="41"/>
      <c r="I62" s="41"/>
      <c r="J62" s="41"/>
      <c r="K62" s="41"/>
      <c r="L62" s="41"/>
      <c r="M62" s="41"/>
      <c r="N62" s="41"/>
      <c r="O62" s="41">
        <f t="shared" si="4"/>
        <v>70.115000000000009</v>
      </c>
      <c r="P62" s="41" t="s">
        <v>178</v>
      </c>
    </row>
    <row r="63" spans="1:16" s="47" customFormat="1" x14ac:dyDescent="0.3">
      <c r="A63" s="44" t="s">
        <v>368</v>
      </c>
      <c r="B63" s="44" t="s">
        <v>369</v>
      </c>
      <c r="C63" s="44" t="s">
        <v>11</v>
      </c>
      <c r="D63" s="77" t="s">
        <v>95</v>
      </c>
      <c r="E63" s="77">
        <f>81.8/2</f>
        <v>40.9</v>
      </c>
      <c r="F63" s="45">
        <v>85</v>
      </c>
      <c r="G63" s="48">
        <f>85/2</f>
        <v>42.5</v>
      </c>
      <c r="H63" s="46"/>
      <c r="I63" s="46"/>
      <c r="J63" s="46"/>
      <c r="K63" s="46"/>
      <c r="L63" s="46"/>
      <c r="M63" s="46"/>
      <c r="N63" s="46"/>
      <c r="O63" s="46">
        <f t="shared" si="4"/>
        <v>83.4</v>
      </c>
      <c r="P63" s="46" t="s">
        <v>178</v>
      </c>
    </row>
    <row r="64" spans="1:16" s="47" customFormat="1" x14ac:dyDescent="0.3">
      <c r="A64" s="44" t="s">
        <v>370</v>
      </c>
      <c r="B64" s="44" t="s">
        <v>371</v>
      </c>
      <c r="C64" s="44" t="s">
        <v>11</v>
      </c>
      <c r="D64" s="77" t="s">
        <v>96</v>
      </c>
      <c r="E64" s="77">
        <f>70.83/2</f>
        <v>35.414999999999999</v>
      </c>
      <c r="F64" s="45">
        <v>95</v>
      </c>
      <c r="G64" s="48">
        <f>95/2</f>
        <v>47.5</v>
      </c>
      <c r="H64" s="46"/>
      <c r="I64" s="46"/>
      <c r="J64" s="46"/>
      <c r="K64" s="46"/>
      <c r="L64" s="46"/>
      <c r="M64" s="46"/>
      <c r="N64" s="46"/>
      <c r="O64" s="46">
        <f t="shared" si="4"/>
        <v>82.914999999999992</v>
      </c>
      <c r="P64" s="46" t="s">
        <v>178</v>
      </c>
    </row>
    <row r="65" spans="1:16" s="47" customFormat="1" x14ac:dyDescent="0.3">
      <c r="A65" s="44" t="s">
        <v>372</v>
      </c>
      <c r="B65" s="44" t="s">
        <v>373</v>
      </c>
      <c r="C65" s="44" t="s">
        <v>11</v>
      </c>
      <c r="D65" s="77" t="s">
        <v>94</v>
      </c>
      <c r="E65" s="77">
        <f>85.3/2</f>
        <v>42.65</v>
      </c>
      <c r="F65" s="48">
        <v>77.5</v>
      </c>
      <c r="G65" s="48">
        <f>77.5/2</f>
        <v>38.75</v>
      </c>
      <c r="H65" s="46"/>
      <c r="I65" s="46"/>
      <c r="J65" s="46"/>
      <c r="K65" s="46"/>
      <c r="L65" s="46"/>
      <c r="M65" s="46"/>
      <c r="N65" s="46"/>
      <c r="O65" s="46">
        <f t="shared" si="4"/>
        <v>81.400000000000006</v>
      </c>
      <c r="P65" s="46" t="s">
        <v>178</v>
      </c>
    </row>
    <row r="66" spans="1:16" s="47" customFormat="1" x14ac:dyDescent="0.3">
      <c r="A66" s="44" t="s">
        <v>374</v>
      </c>
      <c r="B66" s="44" t="s">
        <v>375</v>
      </c>
      <c r="C66" s="44" t="s">
        <v>11</v>
      </c>
      <c r="D66" s="77" t="s">
        <v>91</v>
      </c>
      <c r="E66" s="77">
        <f>60.56/2</f>
        <v>30.28</v>
      </c>
      <c r="F66" s="48">
        <v>97.5</v>
      </c>
      <c r="G66" s="48">
        <f>97.5/2</f>
        <v>48.75</v>
      </c>
      <c r="H66" s="46"/>
      <c r="I66" s="46"/>
      <c r="J66" s="46"/>
      <c r="K66" s="46"/>
      <c r="L66" s="46"/>
      <c r="M66" s="46"/>
      <c r="N66" s="46"/>
      <c r="O66" s="46">
        <f t="shared" si="4"/>
        <v>79.03</v>
      </c>
      <c r="P66" s="46" t="s">
        <v>178</v>
      </c>
    </row>
    <row r="67" spans="1:16" s="47" customFormat="1" x14ac:dyDescent="0.3">
      <c r="A67" s="44" t="s">
        <v>376</v>
      </c>
      <c r="B67" s="44" t="s">
        <v>377</v>
      </c>
      <c r="C67" s="44" t="s">
        <v>11</v>
      </c>
      <c r="D67" s="77" t="s">
        <v>92</v>
      </c>
      <c r="E67" s="77">
        <f>77.6/2</f>
        <v>38.799999999999997</v>
      </c>
      <c r="F67" s="45">
        <v>72.5</v>
      </c>
      <c r="G67" s="48">
        <f>72.5/2</f>
        <v>36.25</v>
      </c>
      <c r="H67" s="46"/>
      <c r="I67" s="46"/>
      <c r="J67" s="46"/>
      <c r="K67" s="46"/>
      <c r="L67" s="46"/>
      <c r="M67" s="46"/>
      <c r="N67" s="46"/>
      <c r="O67" s="46">
        <f t="shared" si="4"/>
        <v>75.05</v>
      </c>
      <c r="P67" s="46" t="s">
        <v>178</v>
      </c>
    </row>
    <row r="68" spans="1:16" s="47" customFormat="1" x14ac:dyDescent="0.3">
      <c r="A68" s="44" t="s">
        <v>304</v>
      </c>
      <c r="B68" s="44" t="s">
        <v>378</v>
      </c>
      <c r="C68" s="44" t="s">
        <v>11</v>
      </c>
      <c r="D68" s="77" t="s">
        <v>90</v>
      </c>
      <c r="E68" s="77">
        <f>75.03/2</f>
        <v>37.515000000000001</v>
      </c>
      <c r="F68" s="45">
        <v>70</v>
      </c>
      <c r="G68" s="48">
        <f>70/2</f>
        <v>35</v>
      </c>
      <c r="H68" s="46"/>
      <c r="I68" s="46"/>
      <c r="J68" s="46"/>
      <c r="K68" s="46"/>
      <c r="L68" s="46"/>
      <c r="M68" s="46"/>
      <c r="N68" s="46"/>
      <c r="O68" s="46">
        <f t="shared" ref="O68" si="5">E68+G68</f>
        <v>72.515000000000001</v>
      </c>
      <c r="P68" s="46" t="s">
        <v>178</v>
      </c>
    </row>
    <row r="69" spans="1:16" s="52" customFormat="1" x14ac:dyDescent="0.3">
      <c r="A69" s="49" t="s">
        <v>379</v>
      </c>
      <c r="B69" s="49" t="s">
        <v>380</v>
      </c>
      <c r="C69" s="49" t="s">
        <v>13</v>
      </c>
      <c r="D69" s="53" t="s">
        <v>100</v>
      </c>
      <c r="E69" s="53">
        <f>80.16/2</f>
        <v>40.08</v>
      </c>
      <c r="F69" s="50">
        <v>92.5</v>
      </c>
      <c r="G69" s="81">
        <f>92.5/2</f>
        <v>46.25</v>
      </c>
      <c r="H69" s="51">
        <v>10</v>
      </c>
      <c r="I69" s="51"/>
      <c r="J69" s="51"/>
      <c r="K69" s="51"/>
      <c r="L69" s="51"/>
      <c r="M69" s="51"/>
      <c r="N69" s="51"/>
      <c r="O69" s="51">
        <f>E69+G69+H69</f>
        <v>96.33</v>
      </c>
      <c r="P69" s="51" t="s">
        <v>179</v>
      </c>
    </row>
    <row r="70" spans="1:16" s="52" customFormat="1" x14ac:dyDescent="0.3">
      <c r="A70" s="49" t="s">
        <v>381</v>
      </c>
      <c r="B70" s="49" t="s">
        <v>382</v>
      </c>
      <c r="C70" s="49" t="s">
        <v>13</v>
      </c>
      <c r="D70" s="53" t="s">
        <v>103</v>
      </c>
      <c r="E70" s="53">
        <f>64.3/2</f>
        <v>32.15</v>
      </c>
      <c r="F70" s="50">
        <v>97.5</v>
      </c>
      <c r="G70" s="81">
        <f>97.5/2</f>
        <v>48.75</v>
      </c>
      <c r="H70" s="51">
        <v>10</v>
      </c>
      <c r="I70" s="51">
        <v>5</v>
      </c>
      <c r="J70" s="51"/>
      <c r="K70" s="51"/>
      <c r="L70" s="51"/>
      <c r="M70" s="51"/>
      <c r="N70" s="51"/>
      <c r="O70" s="51">
        <f>E70+G70+H70+I70</f>
        <v>95.9</v>
      </c>
      <c r="P70" s="51" t="s">
        <v>178</v>
      </c>
    </row>
    <row r="71" spans="1:16" s="52" customFormat="1" x14ac:dyDescent="0.3">
      <c r="A71" s="49" t="s">
        <v>383</v>
      </c>
      <c r="B71" s="49" t="s">
        <v>384</v>
      </c>
      <c r="C71" s="49" t="s">
        <v>13</v>
      </c>
      <c r="D71" s="53" t="s">
        <v>102</v>
      </c>
      <c r="E71" s="53">
        <f>96.26/2</f>
        <v>48.13</v>
      </c>
      <c r="F71" s="53" t="s">
        <v>168</v>
      </c>
      <c r="G71" s="81">
        <f>92.5/2</f>
        <v>46.25</v>
      </c>
      <c r="H71" s="51"/>
      <c r="I71" s="51"/>
      <c r="J71" s="51"/>
      <c r="K71" s="51"/>
      <c r="L71" s="51"/>
      <c r="M71" s="51"/>
      <c r="N71" s="51"/>
      <c r="O71" s="51">
        <f>E71+G71</f>
        <v>94.38</v>
      </c>
      <c r="P71" s="51" t="s">
        <v>178</v>
      </c>
    </row>
    <row r="72" spans="1:16" s="52" customFormat="1" x14ac:dyDescent="0.3">
      <c r="A72" s="49" t="s">
        <v>385</v>
      </c>
      <c r="B72" s="49" t="s">
        <v>386</v>
      </c>
      <c r="C72" s="49" t="s">
        <v>13</v>
      </c>
      <c r="D72" s="53" t="s">
        <v>66</v>
      </c>
      <c r="E72" s="53">
        <f>86.93/2</f>
        <v>43.465000000000003</v>
      </c>
      <c r="F72" s="50">
        <v>97.5</v>
      </c>
      <c r="G72" s="81">
        <f>97.5/2</f>
        <v>48.75</v>
      </c>
      <c r="H72" s="51">
        <v>10</v>
      </c>
      <c r="I72" s="51"/>
      <c r="J72" s="51"/>
      <c r="K72" s="51"/>
      <c r="L72" s="51"/>
      <c r="M72" s="51"/>
      <c r="N72" s="51">
        <v>-10</v>
      </c>
      <c r="O72" s="51">
        <f>E72+G72+H72+N72</f>
        <v>92.215000000000003</v>
      </c>
      <c r="P72" s="51" t="s">
        <v>178</v>
      </c>
    </row>
    <row r="73" spans="1:16" s="52" customFormat="1" x14ac:dyDescent="0.3">
      <c r="A73" s="49" t="s">
        <v>387</v>
      </c>
      <c r="B73" s="49" t="s">
        <v>388</v>
      </c>
      <c r="C73" s="49" t="s">
        <v>13</v>
      </c>
      <c r="D73" s="53" t="s">
        <v>97</v>
      </c>
      <c r="E73" s="53">
        <f>65.7/2</f>
        <v>32.85</v>
      </c>
      <c r="F73" s="50">
        <v>90</v>
      </c>
      <c r="G73" s="81">
        <f>90/2</f>
        <v>45</v>
      </c>
      <c r="H73" s="51">
        <v>10</v>
      </c>
      <c r="I73" s="51"/>
      <c r="J73" s="51"/>
      <c r="K73" s="51"/>
      <c r="L73" s="51"/>
      <c r="M73" s="51"/>
      <c r="N73" s="51"/>
      <c r="O73" s="51">
        <f>E73+G73+H73</f>
        <v>87.85</v>
      </c>
      <c r="P73" s="51" t="s">
        <v>178</v>
      </c>
    </row>
    <row r="74" spans="1:16" s="52" customFormat="1" x14ac:dyDescent="0.3">
      <c r="A74" s="49" t="s">
        <v>389</v>
      </c>
      <c r="B74" s="49" t="s">
        <v>390</v>
      </c>
      <c r="C74" s="49" t="s">
        <v>13</v>
      </c>
      <c r="D74" s="53" t="s">
        <v>98</v>
      </c>
      <c r="E74" s="53">
        <f>74.56/2</f>
        <v>37.28</v>
      </c>
      <c r="F74" s="50">
        <v>97.5</v>
      </c>
      <c r="G74" s="81">
        <f>97.5/2</f>
        <v>48.75</v>
      </c>
      <c r="H74" s="51"/>
      <c r="I74" s="51"/>
      <c r="J74" s="51"/>
      <c r="K74" s="51"/>
      <c r="L74" s="51"/>
      <c r="M74" s="51"/>
      <c r="N74" s="51"/>
      <c r="O74" s="51">
        <f t="shared" ref="O74:O87" si="6">E74+G74</f>
        <v>86.03</v>
      </c>
      <c r="P74" s="51" t="s">
        <v>178</v>
      </c>
    </row>
    <row r="75" spans="1:16" s="52" customFormat="1" x14ac:dyDescent="0.3">
      <c r="A75" s="49" t="s">
        <v>391</v>
      </c>
      <c r="B75" s="49" t="s">
        <v>392</v>
      </c>
      <c r="C75" s="49" t="s">
        <v>13</v>
      </c>
      <c r="D75" s="53" t="s">
        <v>101</v>
      </c>
      <c r="E75" s="53">
        <f>79.23/2</f>
        <v>39.615000000000002</v>
      </c>
      <c r="F75" s="50">
        <v>90</v>
      </c>
      <c r="G75" s="81">
        <f>90/2</f>
        <v>45</v>
      </c>
      <c r="H75" s="51"/>
      <c r="I75" s="51"/>
      <c r="J75" s="51"/>
      <c r="K75" s="51"/>
      <c r="L75" s="51"/>
      <c r="M75" s="51"/>
      <c r="N75" s="51"/>
      <c r="O75" s="51">
        <f t="shared" si="6"/>
        <v>84.615000000000009</v>
      </c>
      <c r="P75" s="51" t="s">
        <v>178</v>
      </c>
    </row>
    <row r="76" spans="1:16" s="52" customFormat="1" x14ac:dyDescent="0.3">
      <c r="A76" s="49" t="s">
        <v>393</v>
      </c>
      <c r="B76" s="49" t="s">
        <v>394</v>
      </c>
      <c r="C76" s="49" t="s">
        <v>13</v>
      </c>
      <c r="D76" s="53" t="s">
        <v>99</v>
      </c>
      <c r="E76" s="53">
        <f>58.23/2</f>
        <v>29.114999999999998</v>
      </c>
      <c r="F76" s="50">
        <v>90</v>
      </c>
      <c r="G76" s="81">
        <f>90/2</f>
        <v>45</v>
      </c>
      <c r="H76" s="51"/>
      <c r="I76" s="51"/>
      <c r="J76" s="51"/>
      <c r="K76" s="51"/>
      <c r="L76" s="51"/>
      <c r="M76" s="51"/>
      <c r="N76" s="51"/>
      <c r="O76" s="51">
        <f t="shared" si="6"/>
        <v>74.114999999999995</v>
      </c>
      <c r="P76" s="51" t="s">
        <v>178</v>
      </c>
    </row>
    <row r="77" spans="1:16" s="57" customFormat="1" x14ac:dyDescent="0.3">
      <c r="A77" s="54" t="s">
        <v>395</v>
      </c>
      <c r="B77" s="54" t="s">
        <v>396</v>
      </c>
      <c r="C77" s="54" t="s">
        <v>10</v>
      </c>
      <c r="D77" s="78" t="s">
        <v>109</v>
      </c>
      <c r="E77" s="78">
        <f>86.23/2</f>
        <v>43.115000000000002</v>
      </c>
      <c r="F77" s="55">
        <v>95</v>
      </c>
      <c r="G77" s="82">
        <f>95/2</f>
        <v>47.5</v>
      </c>
      <c r="H77" s="56"/>
      <c r="I77" s="56"/>
      <c r="J77" s="56"/>
      <c r="K77" s="56"/>
      <c r="L77" s="56"/>
      <c r="M77" s="56"/>
      <c r="N77" s="56"/>
      <c r="O77" s="56">
        <f t="shared" si="6"/>
        <v>90.615000000000009</v>
      </c>
      <c r="P77" s="56" t="s">
        <v>178</v>
      </c>
    </row>
    <row r="78" spans="1:16" s="57" customFormat="1" x14ac:dyDescent="0.3">
      <c r="A78" s="54" t="s">
        <v>397</v>
      </c>
      <c r="B78" s="54" t="s">
        <v>398</v>
      </c>
      <c r="C78" s="54" t="s">
        <v>10</v>
      </c>
      <c r="D78" s="78" t="s">
        <v>105</v>
      </c>
      <c r="E78" s="78">
        <f>80.86/2</f>
        <v>40.43</v>
      </c>
      <c r="F78" s="55">
        <v>97.5</v>
      </c>
      <c r="G78" s="82">
        <f>97.5/2</f>
        <v>48.75</v>
      </c>
      <c r="H78" s="56"/>
      <c r="I78" s="56"/>
      <c r="J78" s="56"/>
      <c r="K78" s="56"/>
      <c r="L78" s="56"/>
      <c r="M78" s="56"/>
      <c r="N78" s="56"/>
      <c r="O78" s="56">
        <f t="shared" si="6"/>
        <v>89.18</v>
      </c>
      <c r="P78" s="56" t="s">
        <v>178</v>
      </c>
    </row>
    <row r="79" spans="1:16" s="57" customFormat="1" x14ac:dyDescent="0.3">
      <c r="A79" s="54" t="s">
        <v>399</v>
      </c>
      <c r="B79" s="54" t="s">
        <v>400</v>
      </c>
      <c r="C79" s="54" t="s">
        <v>10</v>
      </c>
      <c r="D79" s="78" t="s">
        <v>48</v>
      </c>
      <c r="E79" s="78">
        <f>82.96/2</f>
        <v>41.48</v>
      </c>
      <c r="F79" s="55">
        <v>95</v>
      </c>
      <c r="G79" s="82">
        <f>95/2</f>
        <v>47.5</v>
      </c>
      <c r="H79" s="56"/>
      <c r="I79" s="56"/>
      <c r="J79" s="56"/>
      <c r="K79" s="56"/>
      <c r="L79" s="56"/>
      <c r="M79" s="56"/>
      <c r="N79" s="56"/>
      <c r="O79" s="56">
        <f t="shared" si="6"/>
        <v>88.97999999999999</v>
      </c>
      <c r="P79" s="56" t="s">
        <v>178</v>
      </c>
    </row>
    <row r="80" spans="1:16" s="57" customFormat="1" x14ac:dyDescent="0.3">
      <c r="A80" s="54" t="s">
        <v>401</v>
      </c>
      <c r="B80" s="54" t="s">
        <v>402</v>
      </c>
      <c r="C80" s="54" t="s">
        <v>10</v>
      </c>
      <c r="D80" s="78" t="s">
        <v>85</v>
      </c>
      <c r="E80" s="78">
        <f>87.86/2</f>
        <v>43.93</v>
      </c>
      <c r="F80" s="55">
        <v>90</v>
      </c>
      <c r="G80" s="82">
        <f>90/2</f>
        <v>45</v>
      </c>
      <c r="H80" s="56"/>
      <c r="I80" s="56"/>
      <c r="J80" s="56"/>
      <c r="K80" s="56"/>
      <c r="L80" s="56"/>
      <c r="M80" s="56"/>
      <c r="N80" s="56"/>
      <c r="O80" s="56">
        <f t="shared" si="6"/>
        <v>88.93</v>
      </c>
      <c r="P80" s="56" t="s">
        <v>178</v>
      </c>
    </row>
    <row r="81" spans="1:16" s="57" customFormat="1" x14ac:dyDescent="0.3">
      <c r="A81" s="54" t="s">
        <v>403</v>
      </c>
      <c r="B81" s="54" t="s">
        <v>404</v>
      </c>
      <c r="C81" s="54" t="s">
        <v>10</v>
      </c>
      <c r="D81" s="78" t="s">
        <v>107</v>
      </c>
      <c r="E81" s="78">
        <f>82.73/2</f>
        <v>41.365000000000002</v>
      </c>
      <c r="F81" s="55">
        <v>90</v>
      </c>
      <c r="G81" s="82">
        <f>90/2</f>
        <v>45</v>
      </c>
      <c r="H81" s="56"/>
      <c r="I81" s="56"/>
      <c r="J81" s="56"/>
      <c r="K81" s="56"/>
      <c r="L81" s="56"/>
      <c r="M81" s="56"/>
      <c r="N81" s="56"/>
      <c r="O81" s="56">
        <f t="shared" si="6"/>
        <v>86.365000000000009</v>
      </c>
      <c r="P81" s="56" t="s">
        <v>178</v>
      </c>
    </row>
    <row r="82" spans="1:16" s="57" customFormat="1" x14ac:dyDescent="0.3">
      <c r="A82" s="54" t="s">
        <v>405</v>
      </c>
      <c r="B82" s="54" t="s">
        <v>406</v>
      </c>
      <c r="C82" s="54" t="s">
        <v>10</v>
      </c>
      <c r="D82" s="78" t="s">
        <v>106</v>
      </c>
      <c r="E82" s="78">
        <f>81.1/2</f>
        <v>40.549999999999997</v>
      </c>
      <c r="F82" s="55">
        <v>90</v>
      </c>
      <c r="G82" s="82">
        <f>90/2</f>
        <v>45</v>
      </c>
      <c r="H82" s="56"/>
      <c r="I82" s="56"/>
      <c r="J82" s="56"/>
      <c r="K82" s="56"/>
      <c r="L82" s="56"/>
      <c r="M82" s="56"/>
      <c r="N82" s="56"/>
      <c r="O82" s="56">
        <f t="shared" si="6"/>
        <v>85.55</v>
      </c>
      <c r="P82" s="56" t="s">
        <v>178</v>
      </c>
    </row>
    <row r="83" spans="1:16" s="57" customFormat="1" x14ac:dyDescent="0.3">
      <c r="A83" s="54" t="s">
        <v>407</v>
      </c>
      <c r="B83" s="54" t="s">
        <v>408</v>
      </c>
      <c r="C83" s="54" t="s">
        <v>10</v>
      </c>
      <c r="D83" s="78" t="s">
        <v>105</v>
      </c>
      <c r="E83" s="78">
        <f>80.86/2</f>
        <v>40.43</v>
      </c>
      <c r="F83" s="55">
        <v>90</v>
      </c>
      <c r="G83" s="82">
        <f>90/2</f>
        <v>45</v>
      </c>
      <c r="H83" s="56"/>
      <c r="I83" s="56"/>
      <c r="J83" s="56"/>
      <c r="K83" s="56"/>
      <c r="L83" s="56"/>
      <c r="M83" s="56"/>
      <c r="N83" s="56"/>
      <c r="O83" s="56">
        <f t="shared" si="6"/>
        <v>85.43</v>
      </c>
      <c r="P83" s="56" t="s">
        <v>178</v>
      </c>
    </row>
    <row r="84" spans="1:16" s="57" customFormat="1" x14ac:dyDescent="0.3">
      <c r="A84" s="54" t="s">
        <v>310</v>
      </c>
      <c r="B84" s="54" t="s">
        <v>409</v>
      </c>
      <c r="C84" s="54" t="s">
        <v>10</v>
      </c>
      <c r="D84" s="78" t="s">
        <v>50</v>
      </c>
      <c r="E84" s="78">
        <f>88.8/2</f>
        <v>44.4</v>
      </c>
      <c r="F84" s="55">
        <v>77.5</v>
      </c>
      <c r="G84" s="82">
        <f>77.5/2</f>
        <v>38.75</v>
      </c>
      <c r="H84" s="56"/>
      <c r="I84" s="56"/>
      <c r="J84" s="56"/>
      <c r="K84" s="56"/>
      <c r="L84" s="56"/>
      <c r="M84" s="56"/>
      <c r="N84" s="56"/>
      <c r="O84" s="56">
        <f t="shared" si="6"/>
        <v>83.15</v>
      </c>
      <c r="P84" s="56" t="s">
        <v>178</v>
      </c>
    </row>
    <row r="85" spans="1:16" s="57" customFormat="1" x14ac:dyDescent="0.3">
      <c r="A85" s="54" t="s">
        <v>410</v>
      </c>
      <c r="B85" s="54" t="s">
        <v>411</v>
      </c>
      <c r="C85" s="54" t="s">
        <v>10</v>
      </c>
      <c r="D85" s="78" t="s">
        <v>108</v>
      </c>
      <c r="E85" s="78">
        <f>78.06/2</f>
        <v>39.03</v>
      </c>
      <c r="F85" s="55">
        <v>87.5</v>
      </c>
      <c r="G85" s="82">
        <f>87.5/2</f>
        <v>43.75</v>
      </c>
      <c r="H85" s="56"/>
      <c r="I85" s="56"/>
      <c r="J85" s="56"/>
      <c r="K85" s="56"/>
      <c r="L85" s="56"/>
      <c r="M85" s="56"/>
      <c r="N85" s="56"/>
      <c r="O85" s="56">
        <f t="shared" si="6"/>
        <v>82.78</v>
      </c>
      <c r="P85" s="56" t="s">
        <v>178</v>
      </c>
    </row>
    <row r="86" spans="1:16" s="57" customFormat="1" x14ac:dyDescent="0.3">
      <c r="A86" s="54" t="s">
        <v>412</v>
      </c>
      <c r="B86" s="54" t="s">
        <v>413</v>
      </c>
      <c r="C86" s="54" t="s">
        <v>10</v>
      </c>
      <c r="D86" s="78" t="s">
        <v>67</v>
      </c>
      <c r="E86" s="78">
        <f>80.4/2</f>
        <v>40.200000000000003</v>
      </c>
      <c r="F86" s="55">
        <v>82.5</v>
      </c>
      <c r="G86" s="82">
        <f>82.5/2</f>
        <v>41.25</v>
      </c>
      <c r="H86" s="56"/>
      <c r="I86" s="56"/>
      <c r="J86" s="56"/>
      <c r="K86" s="56"/>
      <c r="L86" s="56"/>
      <c r="M86" s="56"/>
      <c r="N86" s="56"/>
      <c r="O86" s="56">
        <f t="shared" si="6"/>
        <v>81.45</v>
      </c>
      <c r="P86" s="56" t="s">
        <v>178</v>
      </c>
    </row>
    <row r="87" spans="1:16" s="57" customFormat="1" x14ac:dyDescent="0.3">
      <c r="A87" s="54" t="s">
        <v>414</v>
      </c>
      <c r="B87" s="54" t="s">
        <v>415</v>
      </c>
      <c r="C87" s="54" t="s">
        <v>10</v>
      </c>
      <c r="D87" s="78" t="s">
        <v>46</v>
      </c>
      <c r="E87" s="78">
        <f>79.93/2</f>
        <v>39.965000000000003</v>
      </c>
      <c r="F87" s="55">
        <v>80</v>
      </c>
      <c r="G87" s="82">
        <f>80/2</f>
        <v>40</v>
      </c>
      <c r="H87" s="56"/>
      <c r="I87" s="56"/>
      <c r="J87" s="56"/>
      <c r="K87" s="56"/>
      <c r="L87" s="56"/>
      <c r="M87" s="56"/>
      <c r="N87" s="56"/>
      <c r="O87" s="56">
        <f t="shared" si="6"/>
        <v>79.965000000000003</v>
      </c>
      <c r="P87" s="56" t="s">
        <v>178</v>
      </c>
    </row>
    <row r="88" spans="1:16" s="61" customFormat="1" x14ac:dyDescent="0.3">
      <c r="A88" s="58" t="s">
        <v>471</v>
      </c>
      <c r="B88" s="58" t="s">
        <v>472</v>
      </c>
      <c r="C88" s="58" t="s">
        <v>18</v>
      </c>
      <c r="D88" s="62" t="s">
        <v>119</v>
      </c>
      <c r="E88" s="62">
        <f>93.46/2</f>
        <v>46.73</v>
      </c>
      <c r="F88" s="59">
        <v>92.5</v>
      </c>
      <c r="G88" s="83">
        <f>92.5/2</f>
        <v>46.25</v>
      </c>
      <c r="H88" s="60">
        <v>10</v>
      </c>
      <c r="I88" s="60"/>
      <c r="J88" s="60"/>
      <c r="K88" s="60"/>
      <c r="L88" s="60"/>
      <c r="M88" s="60"/>
      <c r="N88" s="60"/>
      <c r="O88" s="60">
        <f>E88+G88+H88</f>
        <v>102.97999999999999</v>
      </c>
      <c r="P88" s="60" t="s">
        <v>179</v>
      </c>
    </row>
    <row r="89" spans="1:16" s="61" customFormat="1" x14ac:dyDescent="0.3">
      <c r="A89" s="58" t="s">
        <v>430</v>
      </c>
      <c r="B89" s="58" t="s">
        <v>406</v>
      </c>
      <c r="C89" s="58" t="s">
        <v>18</v>
      </c>
      <c r="D89" s="62" t="s">
        <v>88</v>
      </c>
      <c r="E89" s="62">
        <f>90.2/2</f>
        <v>45.1</v>
      </c>
      <c r="F89" s="59">
        <v>95</v>
      </c>
      <c r="G89" s="83">
        <f>95/2</f>
        <v>47.5</v>
      </c>
      <c r="H89" s="60"/>
      <c r="I89" s="60"/>
      <c r="J89" s="60"/>
      <c r="K89" s="60"/>
      <c r="L89" s="60"/>
      <c r="M89" s="60"/>
      <c r="N89" s="60"/>
      <c r="O89" s="60">
        <f>E89+G89</f>
        <v>92.6</v>
      </c>
      <c r="P89" s="60" t="s">
        <v>178</v>
      </c>
    </row>
    <row r="90" spans="1:16" s="61" customFormat="1" x14ac:dyDescent="0.3">
      <c r="A90" s="58" t="s">
        <v>473</v>
      </c>
      <c r="B90" s="58" t="s">
        <v>474</v>
      </c>
      <c r="C90" s="58" t="s">
        <v>18</v>
      </c>
      <c r="D90" s="62" t="s">
        <v>116</v>
      </c>
      <c r="E90" s="62">
        <f>82.26/2</f>
        <v>41.13</v>
      </c>
      <c r="F90" s="59">
        <v>97.5</v>
      </c>
      <c r="G90" s="83">
        <f>97.5/2</f>
        <v>48.75</v>
      </c>
      <c r="H90" s="60"/>
      <c r="I90" s="60"/>
      <c r="J90" s="60"/>
      <c r="K90" s="60"/>
      <c r="L90" s="60"/>
      <c r="M90" s="60"/>
      <c r="N90" s="60"/>
      <c r="O90" s="60">
        <f>E90+G90</f>
        <v>89.88</v>
      </c>
      <c r="P90" s="60" t="s">
        <v>178</v>
      </c>
    </row>
    <row r="91" spans="1:16" s="61" customFormat="1" x14ac:dyDescent="0.3">
      <c r="A91" s="58" t="s">
        <v>475</v>
      </c>
      <c r="B91" s="58" t="s">
        <v>476</v>
      </c>
      <c r="C91" s="58" t="s">
        <v>18</v>
      </c>
      <c r="D91" s="62" t="s">
        <v>85</v>
      </c>
      <c r="E91" s="62">
        <f>87.86/2</f>
        <v>43.93</v>
      </c>
      <c r="F91" s="59">
        <v>90</v>
      </c>
      <c r="G91" s="83">
        <f>90/2</f>
        <v>45</v>
      </c>
      <c r="H91" s="60"/>
      <c r="I91" s="60"/>
      <c r="J91" s="60"/>
      <c r="K91" s="60"/>
      <c r="L91" s="60"/>
      <c r="M91" s="60"/>
      <c r="N91" s="60"/>
      <c r="O91" s="60">
        <f>E91+G91</f>
        <v>88.93</v>
      </c>
      <c r="P91" s="60" t="s">
        <v>178</v>
      </c>
    </row>
    <row r="92" spans="1:16" s="61" customFormat="1" x14ac:dyDescent="0.3">
      <c r="A92" s="58" t="s">
        <v>477</v>
      </c>
      <c r="B92" s="58" t="s">
        <v>478</v>
      </c>
      <c r="C92" s="58" t="s">
        <v>18</v>
      </c>
      <c r="D92" s="62" t="s">
        <v>114</v>
      </c>
      <c r="E92" s="62">
        <f>90.9/2</f>
        <v>45.45</v>
      </c>
      <c r="F92" s="59">
        <v>85</v>
      </c>
      <c r="G92" s="83">
        <f>85/2</f>
        <v>42.5</v>
      </c>
      <c r="H92" s="60"/>
      <c r="I92" s="60"/>
      <c r="J92" s="60"/>
      <c r="K92" s="60"/>
      <c r="L92" s="60"/>
      <c r="M92" s="60"/>
      <c r="N92" s="60"/>
      <c r="O92" s="60">
        <f>E92+G92</f>
        <v>87.95</v>
      </c>
      <c r="P92" s="60" t="s">
        <v>178</v>
      </c>
    </row>
    <row r="93" spans="1:16" s="61" customFormat="1" x14ac:dyDescent="0.3">
      <c r="A93" s="58" t="s">
        <v>479</v>
      </c>
      <c r="B93" s="58" t="s">
        <v>480</v>
      </c>
      <c r="C93" s="58" t="s">
        <v>18</v>
      </c>
      <c r="D93" s="62" t="s">
        <v>117</v>
      </c>
      <c r="E93" s="62">
        <f>85.06/2</f>
        <v>42.53</v>
      </c>
      <c r="F93" s="59">
        <v>90</v>
      </c>
      <c r="G93" s="83">
        <f>90/2</f>
        <v>45</v>
      </c>
      <c r="H93" s="60"/>
      <c r="I93" s="60"/>
      <c r="J93" s="60"/>
      <c r="K93" s="60"/>
      <c r="L93" s="60"/>
      <c r="M93" s="60"/>
      <c r="N93" s="60"/>
      <c r="O93" s="60">
        <f>E93+G93</f>
        <v>87.53</v>
      </c>
      <c r="P93" s="60" t="s">
        <v>178</v>
      </c>
    </row>
    <row r="94" spans="1:16" s="61" customFormat="1" x14ac:dyDescent="0.3">
      <c r="A94" s="58" t="s">
        <v>481</v>
      </c>
      <c r="B94" s="58" t="s">
        <v>482</v>
      </c>
      <c r="C94" s="58" t="s">
        <v>18</v>
      </c>
      <c r="D94" s="62" t="s">
        <v>118</v>
      </c>
      <c r="E94" s="62">
        <f>72.23/2</f>
        <v>36.115000000000002</v>
      </c>
      <c r="F94" s="62">
        <v>90</v>
      </c>
      <c r="G94" s="83">
        <f>90/2</f>
        <v>45</v>
      </c>
      <c r="H94" s="60">
        <v>10</v>
      </c>
      <c r="I94" s="60">
        <v>5</v>
      </c>
      <c r="J94" s="60"/>
      <c r="K94" s="60"/>
      <c r="L94" s="60"/>
      <c r="M94" s="60"/>
      <c r="N94" s="60">
        <v>-10</v>
      </c>
      <c r="O94" s="60">
        <f>E94+G94+H94+I94+N94</f>
        <v>86.115000000000009</v>
      </c>
      <c r="P94" s="60" t="s">
        <v>178</v>
      </c>
    </row>
    <row r="95" spans="1:16" s="61" customFormat="1" x14ac:dyDescent="0.3">
      <c r="A95" s="58" t="s">
        <v>483</v>
      </c>
      <c r="B95" s="58" t="s">
        <v>484</v>
      </c>
      <c r="C95" s="58" t="s">
        <v>18</v>
      </c>
      <c r="D95" s="62" t="s">
        <v>105</v>
      </c>
      <c r="E95" s="62">
        <f>80.86/2</f>
        <v>40.43</v>
      </c>
      <c r="F95" s="59">
        <v>90</v>
      </c>
      <c r="G95" s="83">
        <f>90/2</f>
        <v>45</v>
      </c>
      <c r="H95" s="60"/>
      <c r="I95" s="60"/>
      <c r="J95" s="60"/>
      <c r="K95" s="60"/>
      <c r="L95" s="60"/>
      <c r="M95" s="60"/>
      <c r="N95" s="60"/>
      <c r="O95" s="60">
        <f>E95+G95</f>
        <v>85.43</v>
      </c>
      <c r="P95" s="60" t="s">
        <v>178</v>
      </c>
    </row>
    <row r="96" spans="1:16" s="61" customFormat="1" x14ac:dyDescent="0.3">
      <c r="A96" s="58" t="s">
        <v>485</v>
      </c>
      <c r="B96" s="58" t="s">
        <v>486</v>
      </c>
      <c r="C96" s="58" t="s">
        <v>18</v>
      </c>
      <c r="D96" s="62" t="s">
        <v>61</v>
      </c>
      <c r="E96" s="62">
        <f>74.8/2</f>
        <v>37.4</v>
      </c>
      <c r="F96" s="59">
        <v>95</v>
      </c>
      <c r="G96" s="83">
        <f>95/2</f>
        <v>47.5</v>
      </c>
      <c r="H96" s="60"/>
      <c r="I96" s="60"/>
      <c r="J96" s="60"/>
      <c r="K96" s="60"/>
      <c r="L96" s="60"/>
      <c r="M96" s="60"/>
      <c r="N96" s="60"/>
      <c r="O96" s="60">
        <f>E96+G96</f>
        <v>84.9</v>
      </c>
      <c r="P96" s="60" t="s">
        <v>178</v>
      </c>
    </row>
    <row r="97" spans="1:16" s="61" customFormat="1" x14ac:dyDescent="0.3">
      <c r="A97" s="58" t="s">
        <v>487</v>
      </c>
      <c r="B97" s="58" t="s">
        <v>488</v>
      </c>
      <c r="C97" s="58" t="s">
        <v>18</v>
      </c>
      <c r="D97" s="62" t="s">
        <v>113</v>
      </c>
      <c r="E97" s="62">
        <f>78.76/2</f>
        <v>39.380000000000003</v>
      </c>
      <c r="F97" s="59">
        <v>90</v>
      </c>
      <c r="G97" s="83">
        <f>90/2</f>
        <v>45</v>
      </c>
      <c r="H97" s="60"/>
      <c r="I97" s="60"/>
      <c r="J97" s="60"/>
      <c r="K97" s="60"/>
      <c r="L97" s="60"/>
      <c r="M97" s="60"/>
      <c r="N97" s="60"/>
      <c r="O97" s="60">
        <f>E97+G97</f>
        <v>84.38</v>
      </c>
      <c r="P97" s="60" t="s">
        <v>178</v>
      </c>
    </row>
    <row r="98" spans="1:16" s="61" customFormat="1" x14ac:dyDescent="0.3">
      <c r="A98" s="58" t="s">
        <v>182</v>
      </c>
      <c r="B98" s="58" t="s">
        <v>489</v>
      </c>
      <c r="C98" s="58" t="s">
        <v>18</v>
      </c>
      <c r="D98" s="62" t="s">
        <v>111</v>
      </c>
      <c r="E98" s="62">
        <f>78.53/2</f>
        <v>39.265000000000001</v>
      </c>
      <c r="F98" s="59">
        <v>90</v>
      </c>
      <c r="G98" s="83">
        <f>90/2</f>
        <v>45</v>
      </c>
      <c r="H98" s="60"/>
      <c r="I98" s="60"/>
      <c r="J98" s="60"/>
      <c r="K98" s="60"/>
      <c r="L98" s="60"/>
      <c r="M98" s="60"/>
      <c r="N98" s="60"/>
      <c r="O98" s="60">
        <f>E98+G98</f>
        <v>84.265000000000001</v>
      </c>
      <c r="P98" s="60" t="s">
        <v>178</v>
      </c>
    </row>
    <row r="99" spans="1:16" s="61" customFormat="1" x14ac:dyDescent="0.3">
      <c r="A99" s="58" t="s">
        <v>490</v>
      </c>
      <c r="B99" s="58" t="s">
        <v>491</v>
      </c>
      <c r="C99" s="58" t="s">
        <v>18</v>
      </c>
      <c r="D99" s="62" t="s">
        <v>115</v>
      </c>
      <c r="E99" s="62">
        <f>65.7/2</f>
        <v>32.85</v>
      </c>
      <c r="F99" s="59">
        <v>70</v>
      </c>
      <c r="G99" s="83">
        <f>70/2</f>
        <v>35</v>
      </c>
      <c r="H99" s="60"/>
      <c r="I99" s="60"/>
      <c r="J99" s="60"/>
      <c r="K99" s="60"/>
      <c r="L99" s="60"/>
      <c r="M99" s="60"/>
      <c r="N99" s="60"/>
      <c r="O99" s="60">
        <f t="shared" ref="O99" si="7">E99+G99</f>
        <v>67.849999999999994</v>
      </c>
      <c r="P99" s="60" t="s">
        <v>178</v>
      </c>
    </row>
    <row r="100" spans="1:16" s="66" customFormat="1" x14ac:dyDescent="0.3">
      <c r="A100" s="63" t="s">
        <v>492</v>
      </c>
      <c r="B100" s="63" t="s">
        <v>493</v>
      </c>
      <c r="C100" s="63" t="s">
        <v>6</v>
      </c>
      <c r="D100" s="67" t="s">
        <v>85</v>
      </c>
      <c r="E100" s="67">
        <f>87.86/2</f>
        <v>43.93</v>
      </c>
      <c r="F100" s="67">
        <v>97.5</v>
      </c>
      <c r="G100" s="84">
        <f>97.5/2</f>
        <v>48.75</v>
      </c>
      <c r="H100" s="65">
        <v>10</v>
      </c>
      <c r="I100" s="65"/>
      <c r="J100" s="65"/>
      <c r="K100" s="65"/>
      <c r="L100" s="65"/>
      <c r="M100" s="65"/>
      <c r="N100" s="65"/>
      <c r="O100" s="65">
        <f>E100+G100+H100</f>
        <v>102.68</v>
      </c>
      <c r="P100" s="65" t="s">
        <v>179</v>
      </c>
    </row>
    <row r="101" spans="1:16" s="66" customFormat="1" x14ac:dyDescent="0.3">
      <c r="A101" s="63" t="s">
        <v>494</v>
      </c>
      <c r="B101" s="63" t="s">
        <v>459</v>
      </c>
      <c r="C101" s="63" t="s">
        <v>6</v>
      </c>
      <c r="D101" s="67" t="s">
        <v>68</v>
      </c>
      <c r="E101" s="67">
        <f>82.03/2</f>
        <v>41.015000000000001</v>
      </c>
      <c r="F101" s="64">
        <v>97.5</v>
      </c>
      <c r="G101" s="84">
        <f>97.5/2</f>
        <v>48.75</v>
      </c>
      <c r="H101" s="65"/>
      <c r="I101" s="65"/>
      <c r="J101" s="65"/>
      <c r="K101" s="65"/>
      <c r="L101" s="65"/>
      <c r="M101" s="65"/>
      <c r="N101" s="65"/>
      <c r="O101" s="65">
        <f t="shared" ref="O101:O111" si="8">E101+G101</f>
        <v>89.765000000000001</v>
      </c>
      <c r="P101" s="65" t="s">
        <v>178</v>
      </c>
    </row>
    <row r="102" spans="1:16" s="66" customFormat="1" x14ac:dyDescent="0.3">
      <c r="A102" s="63" t="s">
        <v>495</v>
      </c>
      <c r="B102" s="63" t="s">
        <v>496</v>
      </c>
      <c r="C102" s="63" t="s">
        <v>6</v>
      </c>
      <c r="D102" s="67" t="s">
        <v>65</v>
      </c>
      <c r="E102" s="67">
        <f>94.86/2</f>
        <v>47.43</v>
      </c>
      <c r="F102" s="64">
        <v>80</v>
      </c>
      <c r="G102" s="84">
        <f>80/2</f>
        <v>40</v>
      </c>
      <c r="H102" s="65"/>
      <c r="I102" s="65"/>
      <c r="J102" s="65"/>
      <c r="K102" s="65"/>
      <c r="L102" s="65"/>
      <c r="M102" s="65"/>
      <c r="N102" s="65"/>
      <c r="O102" s="65">
        <f t="shared" si="8"/>
        <v>87.43</v>
      </c>
      <c r="P102" s="65" t="s">
        <v>178</v>
      </c>
    </row>
    <row r="103" spans="1:16" s="66" customFormat="1" x14ac:dyDescent="0.3">
      <c r="A103" s="63" t="s">
        <v>497</v>
      </c>
      <c r="B103" s="63" t="s">
        <v>498</v>
      </c>
      <c r="C103" s="63" t="s">
        <v>6</v>
      </c>
      <c r="D103" s="67" t="s">
        <v>126</v>
      </c>
      <c r="E103" s="67">
        <f>94.4/2</f>
        <v>47.2</v>
      </c>
      <c r="F103" s="64">
        <v>80</v>
      </c>
      <c r="G103" s="84">
        <f>80/2</f>
        <v>40</v>
      </c>
      <c r="H103" s="65"/>
      <c r="I103" s="65"/>
      <c r="J103" s="65"/>
      <c r="K103" s="65"/>
      <c r="L103" s="65"/>
      <c r="M103" s="65"/>
      <c r="N103" s="65"/>
      <c r="O103" s="65">
        <f t="shared" si="8"/>
        <v>87.2</v>
      </c>
      <c r="P103" s="65" t="s">
        <v>178</v>
      </c>
    </row>
    <row r="104" spans="1:16" s="66" customFormat="1" x14ac:dyDescent="0.3">
      <c r="A104" s="63" t="s">
        <v>499</v>
      </c>
      <c r="B104" s="63" t="s">
        <v>500</v>
      </c>
      <c r="C104" s="63" t="s">
        <v>6</v>
      </c>
      <c r="D104" s="67" t="s">
        <v>125</v>
      </c>
      <c r="E104" s="67">
        <f>90.9/2</f>
        <v>45.45</v>
      </c>
      <c r="F104" s="64">
        <v>80</v>
      </c>
      <c r="G104" s="84">
        <f>80/2</f>
        <v>40</v>
      </c>
      <c r="H104" s="65"/>
      <c r="I104" s="65"/>
      <c r="J104" s="65"/>
      <c r="K104" s="65"/>
      <c r="L104" s="65"/>
      <c r="M104" s="65"/>
      <c r="N104" s="65"/>
      <c r="O104" s="65">
        <f t="shared" si="8"/>
        <v>85.45</v>
      </c>
      <c r="P104" s="65" t="s">
        <v>178</v>
      </c>
    </row>
    <row r="105" spans="1:16" s="66" customFormat="1" x14ac:dyDescent="0.3">
      <c r="A105" s="63" t="s">
        <v>501</v>
      </c>
      <c r="B105" s="63" t="s">
        <v>502</v>
      </c>
      <c r="C105" s="63" t="s">
        <v>6</v>
      </c>
      <c r="D105" s="67" t="s">
        <v>122</v>
      </c>
      <c r="E105" s="67">
        <f>88.1/2</f>
        <v>44.05</v>
      </c>
      <c r="F105" s="64">
        <v>82.5</v>
      </c>
      <c r="G105" s="84">
        <f>82.5/2</f>
        <v>41.25</v>
      </c>
      <c r="H105" s="65"/>
      <c r="I105" s="65"/>
      <c r="J105" s="65"/>
      <c r="K105" s="65"/>
      <c r="L105" s="65"/>
      <c r="M105" s="65"/>
      <c r="N105" s="65"/>
      <c r="O105" s="65">
        <f t="shared" si="8"/>
        <v>85.3</v>
      </c>
      <c r="P105" s="65" t="s">
        <v>178</v>
      </c>
    </row>
    <row r="106" spans="1:16" s="66" customFormat="1" x14ac:dyDescent="0.3">
      <c r="A106" s="63" t="s">
        <v>503</v>
      </c>
      <c r="B106" s="63" t="s">
        <v>431</v>
      </c>
      <c r="C106" s="63" t="s">
        <v>6</v>
      </c>
      <c r="D106" s="67" t="s">
        <v>62</v>
      </c>
      <c r="E106" s="67">
        <f>85.76/2</f>
        <v>42.88</v>
      </c>
      <c r="F106" s="64">
        <v>82.5</v>
      </c>
      <c r="G106" s="84">
        <f>82.5/2</f>
        <v>41.25</v>
      </c>
      <c r="H106" s="65"/>
      <c r="I106" s="65"/>
      <c r="J106" s="65"/>
      <c r="K106" s="65"/>
      <c r="L106" s="65"/>
      <c r="M106" s="65"/>
      <c r="N106" s="65"/>
      <c r="O106" s="65">
        <f t="shared" si="8"/>
        <v>84.13</v>
      </c>
      <c r="P106" s="65" t="s">
        <v>178</v>
      </c>
    </row>
    <row r="107" spans="1:16" s="66" customFormat="1" x14ac:dyDescent="0.3">
      <c r="A107" s="63" t="s">
        <v>504</v>
      </c>
      <c r="B107" s="63" t="s">
        <v>505</v>
      </c>
      <c r="C107" s="63" t="s">
        <v>6</v>
      </c>
      <c r="D107" s="67" t="s">
        <v>124</v>
      </c>
      <c r="E107" s="67">
        <f>76.9/2</f>
        <v>38.450000000000003</v>
      </c>
      <c r="F107" s="64">
        <v>90</v>
      </c>
      <c r="G107" s="84">
        <f>90/2</f>
        <v>45</v>
      </c>
      <c r="H107" s="65"/>
      <c r="I107" s="65"/>
      <c r="J107" s="65"/>
      <c r="K107" s="65"/>
      <c r="L107" s="65"/>
      <c r="M107" s="65"/>
      <c r="N107" s="65"/>
      <c r="O107" s="65">
        <f t="shared" si="8"/>
        <v>83.45</v>
      </c>
      <c r="P107" s="65" t="s">
        <v>178</v>
      </c>
    </row>
    <row r="108" spans="1:16" s="66" customFormat="1" x14ac:dyDescent="0.3">
      <c r="A108" s="63" t="s">
        <v>506</v>
      </c>
      <c r="B108" s="63" t="s">
        <v>507</v>
      </c>
      <c r="C108" s="63" t="s">
        <v>6</v>
      </c>
      <c r="D108" s="67" t="s">
        <v>123</v>
      </c>
      <c r="E108" s="67">
        <f>88.33/2</f>
        <v>44.164999999999999</v>
      </c>
      <c r="F108" s="64">
        <v>77.5</v>
      </c>
      <c r="G108" s="84">
        <f>77.5/2</f>
        <v>38.75</v>
      </c>
      <c r="H108" s="65"/>
      <c r="I108" s="65"/>
      <c r="J108" s="65"/>
      <c r="K108" s="65"/>
      <c r="L108" s="65"/>
      <c r="M108" s="65"/>
      <c r="N108" s="65"/>
      <c r="O108" s="65">
        <f t="shared" si="8"/>
        <v>82.914999999999992</v>
      </c>
      <c r="P108" s="65" t="s">
        <v>178</v>
      </c>
    </row>
    <row r="109" spans="1:16" s="66" customFormat="1" x14ac:dyDescent="0.3">
      <c r="A109" s="63" t="s">
        <v>508</v>
      </c>
      <c r="B109" s="63" t="s">
        <v>509</v>
      </c>
      <c r="C109" s="63" t="s">
        <v>6</v>
      </c>
      <c r="D109" s="67" t="s">
        <v>127</v>
      </c>
      <c r="E109" s="67">
        <f>77.13/2</f>
        <v>38.564999999999998</v>
      </c>
      <c r="F109" s="64">
        <v>82.5</v>
      </c>
      <c r="G109" s="84">
        <f>82.5/2</f>
        <v>41.25</v>
      </c>
      <c r="H109" s="65"/>
      <c r="I109" s="65"/>
      <c r="J109" s="65"/>
      <c r="K109" s="65"/>
      <c r="L109" s="65"/>
      <c r="M109" s="65"/>
      <c r="N109" s="65"/>
      <c r="O109" s="65">
        <f t="shared" si="8"/>
        <v>79.814999999999998</v>
      </c>
      <c r="P109" s="65" t="s">
        <v>178</v>
      </c>
    </row>
    <row r="110" spans="1:16" s="66" customFormat="1" x14ac:dyDescent="0.3">
      <c r="A110" s="63" t="s">
        <v>510</v>
      </c>
      <c r="B110" s="63" t="s">
        <v>511</v>
      </c>
      <c r="C110" s="63" t="s">
        <v>6</v>
      </c>
      <c r="D110" s="67" t="s">
        <v>120</v>
      </c>
      <c r="E110" s="67">
        <f>66.16/2</f>
        <v>33.08</v>
      </c>
      <c r="F110" s="64">
        <v>92.5</v>
      </c>
      <c r="G110" s="84">
        <f>92.5/2</f>
        <v>46.25</v>
      </c>
      <c r="H110" s="65"/>
      <c r="I110" s="65"/>
      <c r="J110" s="65"/>
      <c r="K110" s="65"/>
      <c r="L110" s="65"/>
      <c r="M110" s="65"/>
      <c r="N110" s="65"/>
      <c r="O110" s="65">
        <f t="shared" si="8"/>
        <v>79.33</v>
      </c>
      <c r="P110" s="65" t="s">
        <v>178</v>
      </c>
    </row>
    <row r="111" spans="1:16" s="66" customFormat="1" x14ac:dyDescent="0.3">
      <c r="A111" s="63" t="s">
        <v>495</v>
      </c>
      <c r="B111" s="63" t="s">
        <v>512</v>
      </c>
      <c r="C111" s="63" t="s">
        <v>6</v>
      </c>
      <c r="D111" s="67" t="s">
        <v>84</v>
      </c>
      <c r="E111" s="67">
        <f>80.16/2</f>
        <v>40.08</v>
      </c>
      <c r="F111" s="64">
        <v>77.5</v>
      </c>
      <c r="G111" s="84">
        <f>77.5/2</f>
        <v>38.75</v>
      </c>
      <c r="H111" s="65"/>
      <c r="I111" s="65"/>
      <c r="J111" s="65"/>
      <c r="K111" s="65"/>
      <c r="L111" s="65"/>
      <c r="M111" s="65"/>
      <c r="N111" s="65"/>
      <c r="O111" s="65">
        <f t="shared" si="8"/>
        <v>78.83</v>
      </c>
      <c r="P111" s="65" t="s">
        <v>178</v>
      </c>
    </row>
    <row r="112" spans="1:16" s="66" customFormat="1" x14ac:dyDescent="0.3">
      <c r="A112" s="63" t="s">
        <v>513</v>
      </c>
      <c r="B112" s="63" t="s">
        <v>514</v>
      </c>
      <c r="C112" s="63" t="s">
        <v>6</v>
      </c>
      <c r="D112" s="67" t="s">
        <v>121</v>
      </c>
      <c r="E112" s="67">
        <f>72.23/2</f>
        <v>36.115000000000002</v>
      </c>
      <c r="F112" s="64">
        <v>85</v>
      </c>
      <c r="G112" s="84">
        <f>85/2</f>
        <v>42.5</v>
      </c>
      <c r="H112" s="65"/>
      <c r="I112" s="65"/>
      <c r="J112" s="65"/>
      <c r="K112" s="65"/>
      <c r="L112" s="65"/>
      <c r="M112" s="65"/>
      <c r="N112" s="65"/>
      <c r="O112" s="65">
        <f t="shared" ref="O112" si="9">E112+G112</f>
        <v>78.615000000000009</v>
      </c>
      <c r="P112" s="65" t="s">
        <v>178</v>
      </c>
    </row>
    <row r="113" spans="1:16" s="66" customFormat="1" x14ac:dyDescent="0.3">
      <c r="A113" s="63" t="s">
        <v>451</v>
      </c>
      <c r="B113" s="63" t="s">
        <v>515</v>
      </c>
      <c r="C113" s="63" t="s">
        <v>6</v>
      </c>
      <c r="D113" s="67" t="s">
        <v>112</v>
      </c>
      <c r="E113" s="67">
        <f>75.73/2</f>
        <v>37.865000000000002</v>
      </c>
      <c r="F113" s="64">
        <v>72.5</v>
      </c>
      <c r="G113" s="84">
        <f>72.5/2</f>
        <v>36.25</v>
      </c>
      <c r="H113" s="65"/>
      <c r="I113" s="65"/>
      <c r="J113" s="65"/>
      <c r="K113" s="65"/>
      <c r="L113" s="65"/>
      <c r="M113" s="65"/>
      <c r="N113" s="65"/>
      <c r="O113" s="65">
        <f>E113+G113</f>
        <v>74.115000000000009</v>
      </c>
      <c r="P113" s="65" t="s">
        <v>178</v>
      </c>
    </row>
    <row r="114" spans="1:16" s="12" customFormat="1" x14ac:dyDescent="0.3">
      <c r="A114" s="9" t="s">
        <v>516</v>
      </c>
      <c r="B114" s="9" t="s">
        <v>517</v>
      </c>
      <c r="C114" s="9" t="s">
        <v>7</v>
      </c>
      <c r="D114" s="10" t="s">
        <v>128</v>
      </c>
      <c r="E114" s="10">
        <f>96.03/2</f>
        <v>48.015000000000001</v>
      </c>
      <c r="F114" s="13">
        <v>82.5</v>
      </c>
      <c r="G114" s="14">
        <f>82.5/2</f>
        <v>41.25</v>
      </c>
      <c r="H114" s="11">
        <v>10</v>
      </c>
      <c r="I114" s="11"/>
      <c r="J114" s="11">
        <v>10</v>
      </c>
      <c r="K114" s="11"/>
      <c r="L114" s="11"/>
      <c r="M114" s="11"/>
      <c r="N114" s="11"/>
      <c r="O114" s="11">
        <f>E114+G114+H114+J114</f>
        <v>109.265</v>
      </c>
      <c r="P114" s="11" t="s">
        <v>179</v>
      </c>
    </row>
    <row r="115" spans="1:16" s="12" customFormat="1" x14ac:dyDescent="0.3">
      <c r="A115" s="9" t="s">
        <v>518</v>
      </c>
      <c r="B115" s="9" t="s">
        <v>519</v>
      </c>
      <c r="C115" s="9" t="s">
        <v>7</v>
      </c>
      <c r="D115" s="10" t="s">
        <v>74</v>
      </c>
      <c r="E115" s="10">
        <f>100/2</f>
        <v>50</v>
      </c>
      <c r="F115" s="10" t="s">
        <v>170</v>
      </c>
      <c r="G115" s="14">
        <f>96.25/2</f>
        <v>48.125</v>
      </c>
      <c r="H115" s="11">
        <v>10</v>
      </c>
      <c r="I115" s="11"/>
      <c r="J115" s="11"/>
      <c r="K115" s="11"/>
      <c r="L115" s="11"/>
      <c r="M115" s="11"/>
      <c r="N115" s="11"/>
      <c r="O115" s="11">
        <f>E115+G115+H115+I115</f>
        <v>108.125</v>
      </c>
      <c r="P115" s="11" t="s">
        <v>178</v>
      </c>
    </row>
    <row r="116" spans="1:16" s="12" customFormat="1" x14ac:dyDescent="0.3">
      <c r="A116" s="9" t="s">
        <v>520</v>
      </c>
      <c r="B116" s="9" t="s">
        <v>521</v>
      </c>
      <c r="C116" s="9" t="s">
        <v>7</v>
      </c>
      <c r="D116" s="10" t="s">
        <v>76</v>
      </c>
      <c r="E116" s="10">
        <f>99.06/2</f>
        <v>49.53</v>
      </c>
      <c r="F116" s="13">
        <v>97.5</v>
      </c>
      <c r="G116" s="14">
        <f>97.5/2</f>
        <v>48.75</v>
      </c>
      <c r="H116" s="11"/>
      <c r="I116" s="11"/>
      <c r="J116" s="11"/>
      <c r="K116" s="11"/>
      <c r="L116" s="11"/>
      <c r="M116" s="11"/>
      <c r="N116" s="11"/>
      <c r="O116" s="11">
        <f>E116+G116</f>
        <v>98.28</v>
      </c>
      <c r="P116" s="11" t="s">
        <v>178</v>
      </c>
    </row>
    <row r="117" spans="1:16" s="12" customFormat="1" x14ac:dyDescent="0.3">
      <c r="A117" s="9" t="s">
        <v>522</v>
      </c>
      <c r="B117" s="9" t="s">
        <v>523</v>
      </c>
      <c r="C117" s="9" t="s">
        <v>7</v>
      </c>
      <c r="D117" s="10" t="s">
        <v>130</v>
      </c>
      <c r="E117" s="10">
        <f>98.36/2</f>
        <v>49.18</v>
      </c>
      <c r="F117" s="10">
        <v>92.5</v>
      </c>
      <c r="G117" s="14">
        <f>92.5/2</f>
        <v>46.25</v>
      </c>
      <c r="H117" s="11"/>
      <c r="I117" s="11"/>
      <c r="J117" s="11"/>
      <c r="K117" s="11"/>
      <c r="L117" s="11"/>
      <c r="M117" s="11"/>
      <c r="N117" s="11"/>
      <c r="O117" s="11">
        <f>E117+G117</f>
        <v>95.43</v>
      </c>
      <c r="P117" s="11" t="s">
        <v>178</v>
      </c>
    </row>
    <row r="118" spans="1:16" s="12" customFormat="1" x14ac:dyDescent="0.3">
      <c r="A118" s="9" t="s">
        <v>479</v>
      </c>
      <c r="B118" s="9" t="s">
        <v>524</v>
      </c>
      <c r="C118" s="9" t="s">
        <v>7</v>
      </c>
      <c r="D118" s="10" t="s">
        <v>102</v>
      </c>
      <c r="E118" s="10">
        <f>96.26/2</f>
        <v>48.13</v>
      </c>
      <c r="F118" s="10" t="s">
        <v>171</v>
      </c>
      <c r="G118" s="14">
        <f>80/2</f>
        <v>40</v>
      </c>
      <c r="H118" s="11"/>
      <c r="I118" s="11"/>
      <c r="J118" s="11"/>
      <c r="K118" s="11"/>
      <c r="L118" s="11"/>
      <c r="M118" s="11"/>
      <c r="N118" s="11"/>
      <c r="O118" s="11">
        <f>E118+G118</f>
        <v>88.13</v>
      </c>
      <c r="P118" s="11" t="s">
        <v>178</v>
      </c>
    </row>
    <row r="119" spans="1:16" s="12" customFormat="1" x14ac:dyDescent="0.3">
      <c r="A119" s="9" t="s">
        <v>525</v>
      </c>
      <c r="B119" s="9" t="s">
        <v>526</v>
      </c>
      <c r="C119" s="9" t="s">
        <v>7</v>
      </c>
      <c r="D119" s="10" t="s">
        <v>129</v>
      </c>
      <c r="E119" s="10">
        <f>96.03/2</f>
        <v>48.015000000000001</v>
      </c>
      <c r="F119" s="10" t="s">
        <v>169</v>
      </c>
      <c r="G119" s="14">
        <f>77.5/2</f>
        <v>38.75</v>
      </c>
      <c r="H119" s="11"/>
      <c r="I119" s="11"/>
      <c r="J119" s="11"/>
      <c r="K119" s="11"/>
      <c r="L119" s="11"/>
      <c r="M119" s="11"/>
      <c r="N119" s="11"/>
      <c r="O119" s="11">
        <f>E119+G119</f>
        <v>86.765000000000001</v>
      </c>
      <c r="P119" s="11" t="s">
        <v>178</v>
      </c>
    </row>
    <row r="120" spans="1:16" s="12" customFormat="1" x14ac:dyDescent="0.3">
      <c r="A120" s="9" t="s">
        <v>527</v>
      </c>
      <c r="B120" s="9" t="s">
        <v>519</v>
      </c>
      <c r="C120" s="9" t="s">
        <v>7</v>
      </c>
      <c r="D120" s="10" t="s">
        <v>119</v>
      </c>
      <c r="E120" s="10">
        <f>93.46/2</f>
        <v>46.73</v>
      </c>
      <c r="F120" s="10" t="s">
        <v>172</v>
      </c>
      <c r="G120" s="14">
        <f>71.25/2</f>
        <v>35.625</v>
      </c>
      <c r="H120" s="11"/>
      <c r="I120" s="11"/>
      <c r="J120" s="11"/>
      <c r="K120" s="11"/>
      <c r="L120" s="11"/>
      <c r="M120" s="11"/>
      <c r="N120" s="11"/>
      <c r="O120" s="11">
        <f>E120+G120</f>
        <v>82.35499999999999</v>
      </c>
      <c r="P120" s="11" t="s">
        <v>178</v>
      </c>
    </row>
    <row r="121" spans="1:16" s="73" customFormat="1" x14ac:dyDescent="0.3">
      <c r="A121" s="70" t="s">
        <v>422</v>
      </c>
      <c r="B121" s="70" t="s">
        <v>423</v>
      </c>
      <c r="C121" s="70" t="s">
        <v>20</v>
      </c>
      <c r="D121" s="79" t="s">
        <v>90</v>
      </c>
      <c r="E121" s="79">
        <f>75.03/2</f>
        <v>37.515000000000001</v>
      </c>
      <c r="F121" s="71">
        <v>92.5</v>
      </c>
      <c r="G121" s="85">
        <f>92.5/2</f>
        <v>46.25</v>
      </c>
      <c r="H121" s="72">
        <v>10</v>
      </c>
      <c r="I121" s="72"/>
      <c r="J121" s="72"/>
      <c r="K121" s="72"/>
      <c r="L121" s="72"/>
      <c r="M121" s="72"/>
      <c r="N121" s="72"/>
      <c r="O121" s="72">
        <f>E121+G121+H121</f>
        <v>93.765000000000001</v>
      </c>
      <c r="P121" s="72" t="s">
        <v>178</v>
      </c>
    </row>
    <row r="122" spans="1:16" s="73" customFormat="1" x14ac:dyDescent="0.3">
      <c r="A122" s="70" t="s">
        <v>424</v>
      </c>
      <c r="B122" s="70" t="s">
        <v>425</v>
      </c>
      <c r="C122" s="70" t="s">
        <v>20</v>
      </c>
      <c r="D122" s="79" t="s">
        <v>50</v>
      </c>
      <c r="E122" s="79">
        <f>88.8/2</f>
        <v>44.4</v>
      </c>
      <c r="F122" s="71">
        <v>92.5</v>
      </c>
      <c r="G122" s="85">
        <f>92.5/2</f>
        <v>46.25</v>
      </c>
      <c r="H122" s="72"/>
      <c r="I122" s="72"/>
      <c r="J122" s="72"/>
      <c r="K122" s="72"/>
      <c r="L122" s="72"/>
      <c r="M122" s="72"/>
      <c r="N122" s="72"/>
      <c r="O122" s="72">
        <f t="shared" ref="O122:O138" si="10">E122+G122</f>
        <v>90.65</v>
      </c>
      <c r="P122" s="72" t="s">
        <v>178</v>
      </c>
    </row>
    <row r="123" spans="1:16" s="73" customFormat="1" x14ac:dyDescent="0.3">
      <c r="A123" s="70" t="s">
        <v>426</v>
      </c>
      <c r="B123" s="70" t="s">
        <v>427</v>
      </c>
      <c r="C123" s="70" t="s">
        <v>20</v>
      </c>
      <c r="D123" s="79" t="s">
        <v>110</v>
      </c>
      <c r="E123" s="79">
        <f>88.8/2</f>
        <v>44.4</v>
      </c>
      <c r="F123" s="71">
        <v>90</v>
      </c>
      <c r="G123" s="85">
        <f>90/2</f>
        <v>45</v>
      </c>
      <c r="H123" s="72"/>
      <c r="I123" s="72"/>
      <c r="J123" s="72"/>
      <c r="K123" s="72"/>
      <c r="L123" s="72"/>
      <c r="M123" s="72"/>
      <c r="N123" s="72"/>
      <c r="O123" s="72">
        <f t="shared" si="10"/>
        <v>89.4</v>
      </c>
      <c r="P123" s="72" t="s">
        <v>178</v>
      </c>
    </row>
    <row r="124" spans="1:16" s="73" customFormat="1" x14ac:dyDescent="0.3">
      <c r="A124" s="70" t="s">
        <v>428</v>
      </c>
      <c r="B124" s="70" t="s">
        <v>429</v>
      </c>
      <c r="C124" s="70" t="s">
        <v>20</v>
      </c>
      <c r="D124" s="79" t="s">
        <v>132</v>
      </c>
      <c r="E124" s="79">
        <f>86/2</f>
        <v>43</v>
      </c>
      <c r="F124" s="71">
        <v>92.5</v>
      </c>
      <c r="G124" s="85">
        <f>92.5/2</f>
        <v>46.25</v>
      </c>
      <c r="H124" s="72"/>
      <c r="I124" s="72"/>
      <c r="J124" s="72"/>
      <c r="K124" s="72"/>
      <c r="L124" s="72"/>
      <c r="M124" s="72"/>
      <c r="N124" s="72"/>
      <c r="O124" s="72">
        <f t="shared" si="10"/>
        <v>89.25</v>
      </c>
      <c r="P124" s="72" t="s">
        <v>178</v>
      </c>
    </row>
    <row r="125" spans="1:16" s="73" customFormat="1" x14ac:dyDescent="0.3">
      <c r="A125" s="70" t="s">
        <v>430</v>
      </c>
      <c r="B125" s="70" t="s">
        <v>431</v>
      </c>
      <c r="C125" s="70" t="s">
        <v>20</v>
      </c>
      <c r="D125" s="79" t="s">
        <v>81</v>
      </c>
      <c r="E125" s="79">
        <f>92.53/2</f>
        <v>46.265000000000001</v>
      </c>
      <c r="F125" s="71">
        <v>85</v>
      </c>
      <c r="G125" s="85">
        <f>85/2</f>
        <v>42.5</v>
      </c>
      <c r="H125" s="72"/>
      <c r="I125" s="72"/>
      <c r="J125" s="72"/>
      <c r="K125" s="72"/>
      <c r="L125" s="72"/>
      <c r="M125" s="72"/>
      <c r="N125" s="72"/>
      <c r="O125" s="72">
        <f t="shared" si="10"/>
        <v>88.765000000000001</v>
      </c>
      <c r="P125" s="72" t="s">
        <v>178</v>
      </c>
    </row>
    <row r="126" spans="1:16" s="73" customFormat="1" x14ac:dyDescent="0.3">
      <c r="A126" s="70" t="s">
        <v>432</v>
      </c>
      <c r="B126" s="70" t="s">
        <v>433</v>
      </c>
      <c r="C126" s="70" t="s">
        <v>20</v>
      </c>
      <c r="D126" s="79" t="s">
        <v>68</v>
      </c>
      <c r="E126" s="79">
        <f>82.03/2</f>
        <v>41.015000000000001</v>
      </c>
      <c r="F126" s="71">
        <v>92.5</v>
      </c>
      <c r="G126" s="85">
        <f>92.5/2</f>
        <v>46.25</v>
      </c>
      <c r="H126" s="72"/>
      <c r="I126" s="72"/>
      <c r="J126" s="72"/>
      <c r="K126" s="72"/>
      <c r="L126" s="72"/>
      <c r="M126" s="72"/>
      <c r="N126" s="72"/>
      <c r="O126" s="72">
        <f t="shared" si="10"/>
        <v>87.265000000000001</v>
      </c>
      <c r="P126" s="72" t="s">
        <v>178</v>
      </c>
    </row>
    <row r="127" spans="1:16" s="73" customFormat="1" x14ac:dyDescent="0.3">
      <c r="A127" s="70" t="s">
        <v>434</v>
      </c>
      <c r="B127" s="70" t="s">
        <v>435</v>
      </c>
      <c r="C127" s="70" t="s">
        <v>20</v>
      </c>
      <c r="D127" s="79" t="s">
        <v>134</v>
      </c>
      <c r="E127" s="79">
        <f>91.36/2</f>
        <v>45.68</v>
      </c>
      <c r="F127" s="71">
        <v>82.5</v>
      </c>
      <c r="G127" s="85">
        <f>82.5/2</f>
        <v>41.25</v>
      </c>
      <c r="H127" s="72"/>
      <c r="I127" s="72"/>
      <c r="J127" s="72"/>
      <c r="K127" s="72"/>
      <c r="L127" s="72"/>
      <c r="M127" s="72"/>
      <c r="N127" s="72"/>
      <c r="O127" s="72">
        <f t="shared" si="10"/>
        <v>86.93</v>
      </c>
      <c r="P127" s="72" t="s">
        <v>178</v>
      </c>
    </row>
    <row r="128" spans="1:16" s="73" customFormat="1" x14ac:dyDescent="0.3">
      <c r="A128" s="70" t="s">
        <v>436</v>
      </c>
      <c r="B128" s="70" t="s">
        <v>437</v>
      </c>
      <c r="C128" s="70" t="s">
        <v>20</v>
      </c>
      <c r="D128" s="79" t="s">
        <v>146</v>
      </c>
      <c r="E128" s="79">
        <f>76.2/2</f>
        <v>38.1</v>
      </c>
      <c r="F128" s="71">
        <v>97.5</v>
      </c>
      <c r="G128" s="85">
        <f>97.5/2</f>
        <v>48.75</v>
      </c>
      <c r="H128" s="72"/>
      <c r="I128" s="72"/>
      <c r="J128" s="72"/>
      <c r="K128" s="72"/>
      <c r="L128" s="72"/>
      <c r="M128" s="72"/>
      <c r="N128" s="72"/>
      <c r="O128" s="72">
        <f t="shared" si="10"/>
        <v>86.85</v>
      </c>
      <c r="P128" s="72" t="s">
        <v>178</v>
      </c>
    </row>
    <row r="129" spans="1:16" s="73" customFormat="1" x14ac:dyDescent="0.3">
      <c r="A129" s="70" t="s">
        <v>438</v>
      </c>
      <c r="B129" s="70" t="s">
        <v>439</v>
      </c>
      <c r="C129" s="70" t="s">
        <v>20</v>
      </c>
      <c r="D129" s="79" t="s">
        <v>71</v>
      </c>
      <c r="E129" s="79">
        <f>93.23/2</f>
        <v>46.615000000000002</v>
      </c>
      <c r="F129" s="71">
        <v>80</v>
      </c>
      <c r="G129" s="85">
        <f>80/2</f>
        <v>40</v>
      </c>
      <c r="H129" s="72"/>
      <c r="I129" s="72"/>
      <c r="J129" s="72"/>
      <c r="K129" s="72"/>
      <c r="L129" s="72"/>
      <c r="M129" s="72"/>
      <c r="N129" s="72"/>
      <c r="O129" s="72">
        <f t="shared" si="10"/>
        <v>86.615000000000009</v>
      </c>
      <c r="P129" s="72" t="s">
        <v>178</v>
      </c>
    </row>
    <row r="130" spans="1:16" s="73" customFormat="1" x14ac:dyDescent="0.3">
      <c r="A130" s="70" t="s">
        <v>299</v>
      </c>
      <c r="B130" s="70" t="s">
        <v>440</v>
      </c>
      <c r="C130" s="70" t="s">
        <v>20</v>
      </c>
      <c r="D130" s="79" t="s">
        <v>132</v>
      </c>
      <c r="E130" s="79">
        <f>86/2</f>
        <v>43</v>
      </c>
      <c r="F130" s="71">
        <v>85</v>
      </c>
      <c r="G130" s="85">
        <f>85/2</f>
        <v>42.5</v>
      </c>
      <c r="H130" s="72"/>
      <c r="I130" s="72"/>
      <c r="J130" s="72"/>
      <c r="K130" s="72"/>
      <c r="L130" s="72"/>
      <c r="M130" s="72"/>
      <c r="N130" s="72"/>
      <c r="O130" s="72">
        <f t="shared" si="10"/>
        <v>85.5</v>
      </c>
      <c r="P130" s="72" t="s">
        <v>178</v>
      </c>
    </row>
    <row r="131" spans="1:16" s="73" customFormat="1" x14ac:dyDescent="0.3">
      <c r="A131" s="70" t="s">
        <v>441</v>
      </c>
      <c r="B131" s="70" t="s">
        <v>442</v>
      </c>
      <c r="C131" s="70" t="s">
        <v>20</v>
      </c>
      <c r="D131" s="79" t="s">
        <v>142</v>
      </c>
      <c r="E131" s="79">
        <f>87.63/2</f>
        <v>43.814999999999998</v>
      </c>
      <c r="F131" s="71">
        <v>82.5</v>
      </c>
      <c r="G131" s="85">
        <f>82.5/2</f>
        <v>41.25</v>
      </c>
      <c r="H131" s="72"/>
      <c r="I131" s="72"/>
      <c r="J131" s="72"/>
      <c r="K131" s="72"/>
      <c r="L131" s="72"/>
      <c r="M131" s="72"/>
      <c r="N131" s="72"/>
      <c r="O131" s="72">
        <f t="shared" si="10"/>
        <v>85.064999999999998</v>
      </c>
      <c r="P131" s="72" t="s">
        <v>178</v>
      </c>
    </row>
    <row r="132" spans="1:16" s="73" customFormat="1" x14ac:dyDescent="0.3">
      <c r="A132" s="70" t="s">
        <v>443</v>
      </c>
      <c r="B132" s="70" t="s">
        <v>444</v>
      </c>
      <c r="C132" s="70" t="s">
        <v>20</v>
      </c>
      <c r="D132" s="79" t="s">
        <v>49</v>
      </c>
      <c r="E132" s="79">
        <f>82.26/2</f>
        <v>41.13</v>
      </c>
      <c r="F132" s="71">
        <v>87.5</v>
      </c>
      <c r="G132" s="85">
        <f>87.5/2</f>
        <v>43.75</v>
      </c>
      <c r="H132" s="72"/>
      <c r="I132" s="72"/>
      <c r="J132" s="72"/>
      <c r="K132" s="72"/>
      <c r="L132" s="72"/>
      <c r="M132" s="72"/>
      <c r="N132" s="72"/>
      <c r="O132" s="72">
        <f t="shared" si="10"/>
        <v>84.88</v>
      </c>
      <c r="P132" s="72" t="s">
        <v>178</v>
      </c>
    </row>
    <row r="133" spans="1:16" s="73" customFormat="1" x14ac:dyDescent="0.3">
      <c r="A133" s="70" t="s">
        <v>445</v>
      </c>
      <c r="B133" s="70" t="s">
        <v>446</v>
      </c>
      <c r="C133" s="70" t="s">
        <v>20</v>
      </c>
      <c r="D133" s="79" t="s">
        <v>144</v>
      </c>
      <c r="E133" s="79">
        <f>79/2</f>
        <v>39.5</v>
      </c>
      <c r="F133" s="71">
        <v>90</v>
      </c>
      <c r="G133" s="85">
        <f>90/2</f>
        <v>45</v>
      </c>
      <c r="H133" s="72"/>
      <c r="I133" s="72"/>
      <c r="J133" s="72"/>
      <c r="K133" s="72"/>
      <c r="L133" s="72"/>
      <c r="M133" s="72"/>
      <c r="N133" s="72"/>
      <c r="O133" s="72">
        <f t="shared" si="10"/>
        <v>84.5</v>
      </c>
      <c r="P133" s="72" t="s">
        <v>178</v>
      </c>
    </row>
    <row r="134" spans="1:16" s="73" customFormat="1" x14ac:dyDescent="0.3">
      <c r="A134" s="70" t="s">
        <v>447</v>
      </c>
      <c r="B134" s="70" t="s">
        <v>448</v>
      </c>
      <c r="C134" s="70" t="s">
        <v>20</v>
      </c>
      <c r="D134" s="79" t="s">
        <v>134</v>
      </c>
      <c r="E134" s="79">
        <f>91.36/2</f>
        <v>45.68</v>
      </c>
      <c r="F134" s="71">
        <v>77.5</v>
      </c>
      <c r="G134" s="85">
        <f>77.5/2</f>
        <v>38.75</v>
      </c>
      <c r="H134" s="72"/>
      <c r="I134" s="72"/>
      <c r="J134" s="72"/>
      <c r="K134" s="72"/>
      <c r="L134" s="72"/>
      <c r="M134" s="72"/>
      <c r="N134" s="72"/>
      <c r="O134" s="72">
        <f t="shared" si="10"/>
        <v>84.43</v>
      </c>
      <c r="P134" s="72" t="s">
        <v>178</v>
      </c>
    </row>
    <row r="135" spans="1:16" s="73" customFormat="1" x14ac:dyDescent="0.3">
      <c r="A135" s="70" t="s">
        <v>449</v>
      </c>
      <c r="B135" s="70" t="s">
        <v>450</v>
      </c>
      <c r="C135" s="70" t="s">
        <v>20</v>
      </c>
      <c r="D135" s="79" t="s">
        <v>145</v>
      </c>
      <c r="E135" s="79">
        <f>84.6/2</f>
        <v>42.3</v>
      </c>
      <c r="F135" s="71">
        <v>82.5</v>
      </c>
      <c r="G135" s="85">
        <f>82.5/2</f>
        <v>41.25</v>
      </c>
      <c r="H135" s="72"/>
      <c r="I135" s="72"/>
      <c r="J135" s="72"/>
      <c r="K135" s="72"/>
      <c r="L135" s="72"/>
      <c r="M135" s="72"/>
      <c r="N135" s="72"/>
      <c r="O135" s="72">
        <f t="shared" si="10"/>
        <v>83.55</v>
      </c>
      <c r="P135" s="72" t="s">
        <v>178</v>
      </c>
    </row>
    <row r="136" spans="1:16" s="73" customFormat="1" x14ac:dyDescent="0.3">
      <c r="A136" s="70" t="s">
        <v>451</v>
      </c>
      <c r="B136" s="70" t="s">
        <v>452</v>
      </c>
      <c r="C136" s="70" t="s">
        <v>20</v>
      </c>
      <c r="D136" s="79" t="s">
        <v>137</v>
      </c>
      <c r="E136" s="79">
        <f>87.16/2</f>
        <v>43.58</v>
      </c>
      <c r="F136" s="71">
        <v>77.5</v>
      </c>
      <c r="G136" s="85">
        <f>77.5/2</f>
        <v>38.75</v>
      </c>
      <c r="H136" s="72"/>
      <c r="I136" s="72"/>
      <c r="J136" s="72"/>
      <c r="K136" s="72"/>
      <c r="L136" s="72"/>
      <c r="M136" s="72"/>
      <c r="N136" s="72"/>
      <c r="O136" s="72">
        <f t="shared" si="10"/>
        <v>82.33</v>
      </c>
      <c r="P136" s="72" t="s">
        <v>178</v>
      </c>
    </row>
    <row r="137" spans="1:16" s="73" customFormat="1" x14ac:dyDescent="0.3">
      <c r="A137" s="70" t="s">
        <v>374</v>
      </c>
      <c r="B137" s="70" t="s">
        <v>453</v>
      </c>
      <c r="C137" s="70" t="s">
        <v>20</v>
      </c>
      <c r="D137" s="79" t="s">
        <v>136</v>
      </c>
      <c r="E137" s="79">
        <f>84.13/2</f>
        <v>42.064999999999998</v>
      </c>
      <c r="F137" s="71">
        <v>77.5</v>
      </c>
      <c r="G137" s="85">
        <f>77.5/2</f>
        <v>38.75</v>
      </c>
      <c r="H137" s="72"/>
      <c r="I137" s="72"/>
      <c r="J137" s="72"/>
      <c r="K137" s="72"/>
      <c r="L137" s="72"/>
      <c r="M137" s="72"/>
      <c r="N137" s="72"/>
      <c r="O137" s="72">
        <f t="shared" si="10"/>
        <v>80.814999999999998</v>
      </c>
      <c r="P137" s="72" t="s">
        <v>178</v>
      </c>
    </row>
    <row r="138" spans="1:16" s="73" customFormat="1" x14ac:dyDescent="0.3">
      <c r="A138" s="70" t="s">
        <v>454</v>
      </c>
      <c r="B138" s="70" t="s">
        <v>455</v>
      </c>
      <c r="C138" s="70" t="s">
        <v>20</v>
      </c>
      <c r="D138" s="79" t="s">
        <v>41</v>
      </c>
      <c r="E138" s="79">
        <f>82.5/2</f>
        <v>41.25</v>
      </c>
      <c r="F138" s="71">
        <v>77.5</v>
      </c>
      <c r="G138" s="85">
        <f>77.5/2</f>
        <v>38.75</v>
      </c>
      <c r="H138" s="72"/>
      <c r="I138" s="72"/>
      <c r="J138" s="72"/>
      <c r="K138" s="72"/>
      <c r="L138" s="72"/>
      <c r="M138" s="72"/>
      <c r="N138" s="72"/>
      <c r="O138" s="72">
        <f t="shared" si="10"/>
        <v>80</v>
      </c>
      <c r="P138" s="72" t="s">
        <v>178</v>
      </c>
    </row>
    <row r="139" spans="1:16" s="73" customFormat="1" x14ac:dyDescent="0.3">
      <c r="A139" s="70" t="s">
        <v>456</v>
      </c>
      <c r="B139" s="70" t="s">
        <v>457</v>
      </c>
      <c r="C139" s="70" t="s">
        <v>20</v>
      </c>
      <c r="D139" s="79" t="s">
        <v>131</v>
      </c>
      <c r="E139" s="79">
        <f>85.53/2</f>
        <v>42.765000000000001</v>
      </c>
      <c r="F139" s="71">
        <v>72.5</v>
      </c>
      <c r="G139" s="85">
        <f>72.5/2</f>
        <v>36.25</v>
      </c>
      <c r="H139" s="72"/>
      <c r="I139" s="72"/>
      <c r="J139" s="72"/>
      <c r="K139" s="72"/>
      <c r="L139" s="72"/>
      <c r="M139" s="72"/>
      <c r="N139" s="72"/>
      <c r="O139" s="72">
        <f t="shared" ref="O139:O140" si="11">E139+G139</f>
        <v>79.015000000000001</v>
      </c>
      <c r="P139" s="72" t="s">
        <v>178</v>
      </c>
    </row>
    <row r="140" spans="1:16" s="73" customFormat="1" x14ac:dyDescent="0.3">
      <c r="A140" s="70" t="s">
        <v>458</v>
      </c>
      <c r="B140" s="70" t="s">
        <v>459</v>
      </c>
      <c r="C140" s="70" t="s">
        <v>20</v>
      </c>
      <c r="D140" s="79" t="s">
        <v>49</v>
      </c>
      <c r="E140" s="79">
        <f>82.26/2</f>
        <v>41.13</v>
      </c>
      <c r="F140" s="71">
        <v>75</v>
      </c>
      <c r="G140" s="85">
        <f>75/2</f>
        <v>37.5</v>
      </c>
      <c r="H140" s="72"/>
      <c r="I140" s="72"/>
      <c r="J140" s="72"/>
      <c r="K140" s="72"/>
      <c r="L140" s="72"/>
      <c r="M140" s="72"/>
      <c r="N140" s="72"/>
      <c r="O140" s="72">
        <f t="shared" si="11"/>
        <v>78.63</v>
      </c>
      <c r="P140" s="72" t="s">
        <v>178</v>
      </c>
    </row>
    <row r="141" spans="1:16" s="73" customFormat="1" x14ac:dyDescent="0.3">
      <c r="A141" s="70" t="s">
        <v>460</v>
      </c>
      <c r="B141" s="70" t="s">
        <v>461</v>
      </c>
      <c r="C141" s="70" t="s">
        <v>20</v>
      </c>
      <c r="D141" s="79" t="s">
        <v>135</v>
      </c>
      <c r="E141" s="79">
        <f>88.56/2</f>
        <v>44.28</v>
      </c>
      <c r="F141" s="71">
        <v>87.5</v>
      </c>
      <c r="G141" s="85">
        <f>87.5/2</f>
        <v>43.75</v>
      </c>
      <c r="H141" s="72"/>
      <c r="I141" s="72"/>
      <c r="J141" s="72"/>
      <c r="K141" s="72"/>
      <c r="L141" s="72"/>
      <c r="M141" s="72"/>
      <c r="N141" s="72">
        <v>-10</v>
      </c>
      <c r="O141" s="72">
        <f>E141+G141+N141</f>
        <v>78.03</v>
      </c>
      <c r="P141" s="72" t="s">
        <v>178</v>
      </c>
    </row>
    <row r="142" spans="1:16" s="73" customFormat="1" x14ac:dyDescent="0.3">
      <c r="A142" s="70" t="s">
        <v>462</v>
      </c>
      <c r="B142" s="70" t="s">
        <v>463</v>
      </c>
      <c r="C142" s="70" t="s">
        <v>20</v>
      </c>
      <c r="D142" s="79" t="s">
        <v>143</v>
      </c>
      <c r="E142" s="79">
        <f>85.06/2</f>
        <v>42.53</v>
      </c>
      <c r="F142" s="71">
        <v>70</v>
      </c>
      <c r="G142" s="85">
        <f>70/2</f>
        <v>35</v>
      </c>
      <c r="H142" s="72"/>
      <c r="I142" s="72"/>
      <c r="J142" s="72"/>
      <c r="K142" s="72"/>
      <c r="L142" s="72"/>
      <c r="M142" s="72"/>
      <c r="N142" s="72"/>
      <c r="O142" s="72">
        <f>E142+G142</f>
        <v>77.53</v>
      </c>
      <c r="P142" s="72" t="s">
        <v>178</v>
      </c>
    </row>
    <row r="143" spans="1:16" s="73" customFormat="1" x14ac:dyDescent="0.3">
      <c r="A143" s="70" t="s">
        <v>464</v>
      </c>
      <c r="B143" s="70" t="s">
        <v>465</v>
      </c>
      <c r="C143" s="70" t="s">
        <v>20</v>
      </c>
      <c r="D143" s="79" t="s">
        <v>139</v>
      </c>
      <c r="E143" s="79">
        <f>82.03/2</f>
        <v>41.015000000000001</v>
      </c>
      <c r="F143" s="71">
        <v>72.5</v>
      </c>
      <c r="G143" s="85">
        <f>72.5/2</f>
        <v>36.25</v>
      </c>
      <c r="H143" s="72"/>
      <c r="I143" s="72"/>
      <c r="J143" s="72"/>
      <c r="K143" s="72"/>
      <c r="L143" s="72"/>
      <c r="M143" s="72"/>
      <c r="N143" s="72"/>
      <c r="O143" s="72">
        <f>E143+G143</f>
        <v>77.265000000000001</v>
      </c>
      <c r="P143" s="72" t="s">
        <v>178</v>
      </c>
    </row>
    <row r="144" spans="1:16" s="73" customFormat="1" x14ac:dyDescent="0.3">
      <c r="A144" s="70" t="s">
        <v>466</v>
      </c>
      <c r="B144" s="70" t="s">
        <v>467</v>
      </c>
      <c r="C144" s="70" t="s">
        <v>20</v>
      </c>
      <c r="D144" s="79" t="s">
        <v>133</v>
      </c>
      <c r="E144" s="79">
        <f>87.4/2</f>
        <v>43.7</v>
      </c>
      <c r="F144" s="71">
        <v>85</v>
      </c>
      <c r="G144" s="85">
        <f>85/2</f>
        <v>42.5</v>
      </c>
      <c r="H144" s="72"/>
      <c r="I144" s="72"/>
      <c r="J144" s="72"/>
      <c r="K144" s="72"/>
      <c r="L144" s="72"/>
      <c r="M144" s="72"/>
      <c r="N144" s="72">
        <v>-10</v>
      </c>
      <c r="O144" s="72">
        <f>E144+G144+N144</f>
        <v>76.2</v>
      </c>
      <c r="P144" s="72" t="s">
        <v>178</v>
      </c>
    </row>
    <row r="145" spans="1:16" s="73" customFormat="1" x14ac:dyDescent="0.3">
      <c r="A145" s="70" t="s">
        <v>468</v>
      </c>
      <c r="B145" s="70" t="s">
        <v>469</v>
      </c>
      <c r="C145" s="70" t="s">
        <v>20</v>
      </c>
      <c r="D145" s="79" t="s">
        <v>141</v>
      </c>
      <c r="E145" s="79">
        <f>68.03/2</f>
        <v>34.015000000000001</v>
      </c>
      <c r="F145" s="71">
        <v>82.5</v>
      </c>
      <c r="G145" s="85">
        <f>82.5/2</f>
        <v>41.25</v>
      </c>
      <c r="H145" s="72"/>
      <c r="I145" s="72"/>
      <c r="J145" s="72"/>
      <c r="K145" s="72"/>
      <c r="L145" s="72"/>
      <c r="M145" s="72"/>
      <c r="N145" s="72"/>
      <c r="O145" s="72">
        <f>E145+G145</f>
        <v>75.265000000000001</v>
      </c>
      <c r="P145" s="72" t="s">
        <v>178</v>
      </c>
    </row>
    <row r="146" spans="1:16" s="73" customFormat="1" x14ac:dyDescent="0.3">
      <c r="A146" s="70" t="s">
        <v>295</v>
      </c>
      <c r="B146" s="70" t="s">
        <v>470</v>
      </c>
      <c r="C146" s="70" t="s">
        <v>20</v>
      </c>
      <c r="D146" s="79" t="s">
        <v>138</v>
      </c>
      <c r="E146" s="79">
        <f>67.56/2</f>
        <v>33.78</v>
      </c>
      <c r="F146" s="71">
        <v>75</v>
      </c>
      <c r="G146" s="85">
        <f>75/2</f>
        <v>37.5</v>
      </c>
      <c r="H146" s="72"/>
      <c r="I146" s="72"/>
      <c r="J146" s="72"/>
      <c r="K146" s="72"/>
      <c r="L146" s="72"/>
      <c r="M146" s="72"/>
      <c r="N146" s="72"/>
      <c r="O146" s="72">
        <f>E146+G146</f>
        <v>71.28</v>
      </c>
      <c r="P146" s="72" t="s">
        <v>178</v>
      </c>
    </row>
    <row r="147" spans="1:16" s="47" customFormat="1" x14ac:dyDescent="0.3">
      <c r="A147" s="44" t="s">
        <v>416</v>
      </c>
      <c r="B147" s="44" t="s">
        <v>417</v>
      </c>
      <c r="C147" s="44" t="s">
        <v>22</v>
      </c>
      <c r="D147" s="77" t="s">
        <v>104</v>
      </c>
      <c r="E147" s="77">
        <f>81.33/2</f>
        <v>40.664999999999999</v>
      </c>
      <c r="F147" s="45">
        <v>97.5</v>
      </c>
      <c r="G147" s="48">
        <f>97.5/2</f>
        <v>48.75</v>
      </c>
      <c r="H147" s="46">
        <v>10</v>
      </c>
      <c r="I147" s="46"/>
      <c r="J147" s="46"/>
      <c r="K147" s="46"/>
      <c r="L147" s="46"/>
      <c r="M147" s="46"/>
      <c r="N147" s="46"/>
      <c r="O147" s="46">
        <f>E147+G147+H147</f>
        <v>99.414999999999992</v>
      </c>
      <c r="P147" s="46" t="s">
        <v>179</v>
      </c>
    </row>
    <row r="148" spans="1:16" s="47" customFormat="1" x14ac:dyDescent="0.3">
      <c r="A148" s="44" t="s">
        <v>418</v>
      </c>
      <c r="B148" s="44" t="s">
        <v>419</v>
      </c>
      <c r="C148" s="44" t="s">
        <v>22</v>
      </c>
      <c r="D148" s="77" t="s">
        <v>147</v>
      </c>
      <c r="E148" s="77">
        <f>73.16/2</f>
        <v>36.58</v>
      </c>
      <c r="F148" s="45">
        <v>80</v>
      </c>
      <c r="G148" s="48">
        <f>80/2</f>
        <v>40</v>
      </c>
      <c r="H148" s="46"/>
      <c r="I148" s="46"/>
      <c r="J148" s="46"/>
      <c r="K148" s="46"/>
      <c r="L148" s="46"/>
      <c r="M148" s="46"/>
      <c r="N148" s="46"/>
      <c r="O148" s="46">
        <f>E148+G148</f>
        <v>76.58</v>
      </c>
      <c r="P148" s="46" t="s">
        <v>178</v>
      </c>
    </row>
    <row r="149" spans="1:16" s="47" customFormat="1" x14ac:dyDescent="0.3">
      <c r="A149" s="44" t="s">
        <v>420</v>
      </c>
      <c r="B149" s="44" t="s">
        <v>421</v>
      </c>
      <c r="C149" s="44" t="s">
        <v>22</v>
      </c>
      <c r="D149" s="77" t="s">
        <v>93</v>
      </c>
      <c r="E149" s="77">
        <f>92.06/2</f>
        <v>46.03</v>
      </c>
      <c r="F149" s="45">
        <v>97.5</v>
      </c>
      <c r="G149" s="48">
        <f>97.5/2</f>
        <v>48.75</v>
      </c>
      <c r="H149" s="46"/>
      <c r="I149" s="46"/>
      <c r="J149" s="46"/>
      <c r="K149" s="46"/>
      <c r="L149" s="46"/>
      <c r="M149" s="46"/>
      <c r="N149" s="46"/>
      <c r="O149" s="46">
        <f t="shared" ref="O149" si="12">E149+G149</f>
        <v>94.78</v>
      </c>
      <c r="P149" s="46" t="s">
        <v>178</v>
      </c>
    </row>
    <row r="150" spans="1:16" s="23" customFormat="1" x14ac:dyDescent="0.3">
      <c r="A150" s="20" t="s">
        <v>341</v>
      </c>
      <c r="B150" s="20" t="s">
        <v>342</v>
      </c>
      <c r="C150" s="20" t="s">
        <v>14</v>
      </c>
      <c r="D150" s="68" t="s">
        <v>152</v>
      </c>
      <c r="E150" s="68">
        <f>98.36/2</f>
        <v>49.18</v>
      </c>
      <c r="F150" s="21">
        <v>90</v>
      </c>
      <c r="G150" s="86">
        <f>90/2</f>
        <v>45</v>
      </c>
      <c r="H150" s="22"/>
      <c r="I150" s="22"/>
      <c r="J150" s="22"/>
      <c r="K150" s="22"/>
      <c r="L150" s="22"/>
      <c r="M150" s="22"/>
      <c r="N150" s="22"/>
      <c r="O150" s="22">
        <f t="shared" ref="O150:O162" si="13">E150+G150</f>
        <v>94.18</v>
      </c>
      <c r="P150" s="22" t="s">
        <v>178</v>
      </c>
    </row>
    <row r="151" spans="1:16" s="23" customFormat="1" x14ac:dyDescent="0.3">
      <c r="A151" s="20" t="s">
        <v>343</v>
      </c>
      <c r="B151" s="20" t="s">
        <v>344</v>
      </c>
      <c r="C151" s="20" t="s">
        <v>14</v>
      </c>
      <c r="D151" s="68" t="s">
        <v>149</v>
      </c>
      <c r="E151" s="68">
        <f>89.5/2</f>
        <v>44.75</v>
      </c>
      <c r="F151" s="21">
        <v>95</v>
      </c>
      <c r="G151" s="86">
        <f>95/2</f>
        <v>47.5</v>
      </c>
      <c r="H151" s="22"/>
      <c r="I151" s="22"/>
      <c r="J151" s="22"/>
      <c r="K151" s="22"/>
      <c r="L151" s="22"/>
      <c r="M151" s="22"/>
      <c r="N151" s="22"/>
      <c r="O151" s="22">
        <f t="shared" si="13"/>
        <v>92.25</v>
      </c>
      <c r="P151" s="22" t="s">
        <v>178</v>
      </c>
    </row>
    <row r="152" spans="1:16" s="23" customFormat="1" x14ac:dyDescent="0.3">
      <c r="A152" s="20" t="s">
        <v>345</v>
      </c>
      <c r="B152" s="20" t="s">
        <v>346</v>
      </c>
      <c r="C152" s="20" t="s">
        <v>14</v>
      </c>
      <c r="D152" s="68" t="s">
        <v>66</v>
      </c>
      <c r="E152" s="68">
        <f>86.93/2</f>
        <v>43.465000000000003</v>
      </c>
      <c r="F152" s="68">
        <v>97.5</v>
      </c>
      <c r="G152" s="86">
        <f>97.5/2</f>
        <v>48.75</v>
      </c>
      <c r="H152" s="22"/>
      <c r="I152" s="22"/>
      <c r="J152" s="22"/>
      <c r="K152" s="22"/>
      <c r="L152" s="22"/>
      <c r="M152" s="22"/>
      <c r="N152" s="22"/>
      <c r="O152" s="22">
        <f t="shared" si="13"/>
        <v>92.215000000000003</v>
      </c>
      <c r="P152" s="22" t="s">
        <v>178</v>
      </c>
    </row>
    <row r="153" spans="1:16" s="23" customFormat="1" x14ac:dyDescent="0.3">
      <c r="A153" s="20" t="s">
        <v>347</v>
      </c>
      <c r="B153" s="20" t="s">
        <v>348</v>
      </c>
      <c r="C153" s="20" t="s">
        <v>14</v>
      </c>
      <c r="D153" s="68" t="s">
        <v>150</v>
      </c>
      <c r="E153" s="68">
        <f>86.7/2</f>
        <v>43.35</v>
      </c>
      <c r="F153" s="21">
        <v>97.5</v>
      </c>
      <c r="G153" s="86">
        <f>97.5/2</f>
        <v>48.75</v>
      </c>
      <c r="H153" s="22"/>
      <c r="I153" s="22"/>
      <c r="J153" s="22"/>
      <c r="K153" s="22"/>
      <c r="L153" s="22"/>
      <c r="M153" s="22"/>
      <c r="N153" s="22"/>
      <c r="O153" s="22">
        <f t="shared" si="13"/>
        <v>92.1</v>
      </c>
      <c r="P153" s="22" t="s">
        <v>178</v>
      </c>
    </row>
    <row r="154" spans="1:16" s="23" customFormat="1" x14ac:dyDescent="0.3">
      <c r="A154" s="20" t="s">
        <v>349</v>
      </c>
      <c r="B154" s="20" t="s">
        <v>350</v>
      </c>
      <c r="C154" s="20" t="s">
        <v>14</v>
      </c>
      <c r="D154" s="68" t="s">
        <v>40</v>
      </c>
      <c r="E154" s="68">
        <f>86/2</f>
        <v>43</v>
      </c>
      <c r="F154" s="21">
        <v>95</v>
      </c>
      <c r="G154" s="86">
        <f>95/2</f>
        <v>47.5</v>
      </c>
      <c r="H154" s="22"/>
      <c r="I154" s="22"/>
      <c r="J154" s="22"/>
      <c r="K154" s="22"/>
      <c r="L154" s="22"/>
      <c r="M154" s="22"/>
      <c r="N154" s="22"/>
      <c r="O154" s="22">
        <f t="shared" si="13"/>
        <v>90.5</v>
      </c>
      <c r="P154" s="22" t="s">
        <v>178</v>
      </c>
    </row>
    <row r="155" spans="1:16" s="23" customFormat="1" x14ac:dyDescent="0.3">
      <c r="A155" s="20" t="s">
        <v>351</v>
      </c>
      <c r="B155" s="20" t="s">
        <v>352</v>
      </c>
      <c r="C155" s="20" t="s">
        <v>14</v>
      </c>
      <c r="D155" s="68" t="s">
        <v>148</v>
      </c>
      <c r="E155" s="68">
        <f>91.36/2</f>
        <v>45.68</v>
      </c>
      <c r="F155" s="21">
        <v>87.5</v>
      </c>
      <c r="G155" s="86">
        <f>87.5/2</f>
        <v>43.75</v>
      </c>
      <c r="H155" s="22"/>
      <c r="I155" s="22"/>
      <c r="J155" s="22"/>
      <c r="K155" s="22"/>
      <c r="L155" s="22"/>
      <c r="M155" s="22"/>
      <c r="N155" s="22"/>
      <c r="O155" s="22">
        <f t="shared" si="13"/>
        <v>89.43</v>
      </c>
      <c r="P155" s="22" t="s">
        <v>178</v>
      </c>
    </row>
    <row r="156" spans="1:16" s="23" customFormat="1" x14ac:dyDescent="0.3">
      <c r="A156" s="20" t="s">
        <v>353</v>
      </c>
      <c r="B156" s="20" t="s">
        <v>354</v>
      </c>
      <c r="C156" s="20" t="s">
        <v>14</v>
      </c>
      <c r="D156" s="68" t="s">
        <v>143</v>
      </c>
      <c r="E156" s="68">
        <f>85.06/2</f>
        <v>42.53</v>
      </c>
      <c r="F156" s="21">
        <v>92.5</v>
      </c>
      <c r="G156" s="86">
        <f>92.5/2</f>
        <v>46.25</v>
      </c>
      <c r="H156" s="22"/>
      <c r="I156" s="22"/>
      <c r="J156" s="22"/>
      <c r="K156" s="22"/>
      <c r="L156" s="22"/>
      <c r="M156" s="22"/>
      <c r="N156" s="22"/>
      <c r="O156" s="22">
        <f t="shared" si="13"/>
        <v>88.78</v>
      </c>
      <c r="P156" s="22" t="s">
        <v>178</v>
      </c>
    </row>
    <row r="157" spans="1:16" s="23" customFormat="1" x14ac:dyDescent="0.3">
      <c r="A157" s="20" t="s">
        <v>355</v>
      </c>
      <c r="B157" s="20" t="s">
        <v>356</v>
      </c>
      <c r="C157" s="20" t="s">
        <v>14</v>
      </c>
      <c r="D157" s="68" t="s">
        <v>140</v>
      </c>
      <c r="E157" s="68">
        <f>93.7/2</f>
        <v>46.85</v>
      </c>
      <c r="F157" s="21">
        <v>82.5</v>
      </c>
      <c r="G157" s="86">
        <f>82.5/2</f>
        <v>41.25</v>
      </c>
      <c r="H157" s="22"/>
      <c r="I157" s="22"/>
      <c r="J157" s="22"/>
      <c r="K157" s="22"/>
      <c r="L157" s="22"/>
      <c r="M157" s="22"/>
      <c r="N157" s="22"/>
      <c r="O157" s="22">
        <f t="shared" si="13"/>
        <v>88.1</v>
      </c>
      <c r="P157" s="22" t="s">
        <v>178</v>
      </c>
    </row>
    <row r="158" spans="1:16" s="23" customFormat="1" x14ac:dyDescent="0.3">
      <c r="A158" s="20" t="s">
        <v>357</v>
      </c>
      <c r="B158" s="20" t="s">
        <v>358</v>
      </c>
      <c r="C158" s="20" t="s">
        <v>14</v>
      </c>
      <c r="D158" s="68" t="s">
        <v>80</v>
      </c>
      <c r="E158" s="68">
        <f>83.43/2</f>
        <v>41.715000000000003</v>
      </c>
      <c r="F158" s="21">
        <v>92.5</v>
      </c>
      <c r="G158" s="86">
        <f>92.5/2</f>
        <v>46.25</v>
      </c>
      <c r="H158" s="22"/>
      <c r="I158" s="22"/>
      <c r="J158" s="22"/>
      <c r="K158" s="22"/>
      <c r="L158" s="22"/>
      <c r="M158" s="22"/>
      <c r="N158" s="22"/>
      <c r="O158" s="22">
        <f t="shared" si="13"/>
        <v>87.965000000000003</v>
      </c>
      <c r="P158" s="22" t="s">
        <v>178</v>
      </c>
    </row>
    <row r="159" spans="1:16" s="23" customFormat="1" x14ac:dyDescent="0.3">
      <c r="A159" s="20" t="s">
        <v>210</v>
      </c>
      <c r="B159" s="20" t="s">
        <v>359</v>
      </c>
      <c r="C159" s="20" t="s">
        <v>14</v>
      </c>
      <c r="D159" s="68" t="s">
        <v>46</v>
      </c>
      <c r="E159" s="68">
        <f>79.93/2</f>
        <v>39.965000000000003</v>
      </c>
      <c r="F159" s="21">
        <v>95</v>
      </c>
      <c r="G159" s="86">
        <f>95/2</f>
        <v>47.5</v>
      </c>
      <c r="H159" s="22"/>
      <c r="I159" s="22"/>
      <c r="J159" s="22"/>
      <c r="K159" s="22"/>
      <c r="L159" s="22"/>
      <c r="M159" s="22"/>
      <c r="N159" s="22"/>
      <c r="O159" s="22">
        <f t="shared" si="13"/>
        <v>87.465000000000003</v>
      </c>
      <c r="P159" s="22" t="s">
        <v>178</v>
      </c>
    </row>
    <row r="160" spans="1:16" s="23" customFormat="1" x14ac:dyDescent="0.3">
      <c r="A160" s="20" t="s">
        <v>360</v>
      </c>
      <c r="B160" s="20" t="s">
        <v>361</v>
      </c>
      <c r="C160" s="20" t="s">
        <v>14</v>
      </c>
      <c r="D160" s="68" t="s">
        <v>122</v>
      </c>
      <c r="E160" s="68">
        <f>88.1/2</f>
        <v>44.05</v>
      </c>
      <c r="F160" s="21">
        <v>85</v>
      </c>
      <c r="G160" s="86">
        <f>85/2</f>
        <v>42.5</v>
      </c>
      <c r="H160" s="22"/>
      <c r="I160" s="22"/>
      <c r="J160" s="22"/>
      <c r="K160" s="22"/>
      <c r="L160" s="22"/>
      <c r="M160" s="22"/>
      <c r="N160" s="22"/>
      <c r="O160" s="22">
        <f t="shared" si="13"/>
        <v>86.55</v>
      </c>
      <c r="P160" s="22" t="s">
        <v>178</v>
      </c>
    </row>
    <row r="161" spans="1:16" s="23" customFormat="1" x14ac:dyDescent="0.3">
      <c r="A161" s="20" t="s">
        <v>362</v>
      </c>
      <c r="B161" s="20" t="s">
        <v>363</v>
      </c>
      <c r="C161" s="20" t="s">
        <v>14</v>
      </c>
      <c r="D161" s="68" t="s">
        <v>151</v>
      </c>
      <c r="E161" s="68">
        <f>85.76/2</f>
        <v>42.88</v>
      </c>
      <c r="F161" s="21">
        <v>85</v>
      </c>
      <c r="G161" s="86">
        <f>85/2</f>
        <v>42.5</v>
      </c>
      <c r="H161" s="22"/>
      <c r="I161" s="22"/>
      <c r="J161" s="22"/>
      <c r="K161" s="22"/>
      <c r="L161" s="22"/>
      <c r="M161" s="22"/>
      <c r="N161" s="22"/>
      <c r="O161" s="22">
        <f t="shared" si="13"/>
        <v>85.38</v>
      </c>
      <c r="P161" s="22" t="s">
        <v>178</v>
      </c>
    </row>
    <row r="162" spans="1:16" s="23" customFormat="1" x14ac:dyDescent="0.3">
      <c r="A162" s="20" t="s">
        <v>364</v>
      </c>
      <c r="B162" s="20" t="s">
        <v>365</v>
      </c>
      <c r="C162" s="20" t="s">
        <v>14</v>
      </c>
      <c r="D162" s="68" t="s">
        <v>153</v>
      </c>
      <c r="E162" s="68">
        <f>70.36/2</f>
        <v>35.18</v>
      </c>
      <c r="F162" s="21">
        <v>97.5</v>
      </c>
      <c r="G162" s="86">
        <f>97.5/2</f>
        <v>48.75</v>
      </c>
      <c r="H162" s="22"/>
      <c r="I162" s="22"/>
      <c r="J162" s="22"/>
      <c r="K162" s="22"/>
      <c r="L162" s="22"/>
      <c r="M162" s="22"/>
      <c r="N162" s="22"/>
      <c r="O162" s="22">
        <f t="shared" si="13"/>
        <v>83.93</v>
      </c>
      <c r="P162" s="22" t="s">
        <v>178</v>
      </c>
    </row>
    <row r="163" spans="1:16" s="23" customFormat="1" x14ac:dyDescent="0.3">
      <c r="A163" s="20" t="s">
        <v>366</v>
      </c>
      <c r="B163" s="20" t="s">
        <v>367</v>
      </c>
      <c r="C163" s="20" t="s">
        <v>14</v>
      </c>
      <c r="D163" s="68" t="s">
        <v>83</v>
      </c>
      <c r="E163" s="68">
        <f>76.43/2</f>
        <v>38.215000000000003</v>
      </c>
      <c r="F163" s="21">
        <v>75</v>
      </c>
      <c r="G163" s="86">
        <f>75/2</f>
        <v>37.5</v>
      </c>
      <c r="H163" s="22"/>
      <c r="I163" s="22"/>
      <c r="J163" s="22"/>
      <c r="K163" s="22"/>
      <c r="L163" s="22"/>
      <c r="M163" s="22"/>
      <c r="N163" s="22"/>
      <c r="O163" s="22">
        <f t="shared" ref="O163" si="14">E163+G163</f>
        <v>75.715000000000003</v>
      </c>
      <c r="P163" s="22" t="s">
        <v>178</v>
      </c>
    </row>
    <row r="164" spans="1:16" s="102" customFormat="1" x14ac:dyDescent="0.3">
      <c r="A164" s="97" t="s">
        <v>330</v>
      </c>
      <c r="B164" s="97" t="s">
        <v>331</v>
      </c>
      <c r="C164" s="97" t="s">
        <v>19</v>
      </c>
      <c r="D164" s="98" t="s">
        <v>154</v>
      </c>
      <c r="E164" s="98">
        <f>79.23/2</f>
        <v>39.615000000000002</v>
      </c>
      <c r="F164" s="99">
        <v>92.5</v>
      </c>
      <c r="G164" s="100">
        <f>92.5/2</f>
        <v>46.25</v>
      </c>
      <c r="H164" s="101">
        <v>10</v>
      </c>
      <c r="I164" s="101"/>
      <c r="J164" s="101"/>
      <c r="K164" s="101"/>
      <c r="L164" s="101"/>
      <c r="M164" s="101"/>
      <c r="N164" s="101"/>
      <c r="O164" s="101">
        <f>E164+G164+H164</f>
        <v>95.865000000000009</v>
      </c>
      <c r="P164" s="101" t="s">
        <v>179</v>
      </c>
    </row>
    <row r="165" spans="1:16" s="102" customFormat="1" x14ac:dyDescent="0.3">
      <c r="A165" s="97" t="s">
        <v>332</v>
      </c>
      <c r="B165" s="97" t="s">
        <v>333</v>
      </c>
      <c r="C165" s="97" t="s">
        <v>19</v>
      </c>
      <c r="D165" s="98" t="s">
        <v>39</v>
      </c>
      <c r="E165" s="98">
        <f>81.53/2</f>
        <v>40.765000000000001</v>
      </c>
      <c r="F165" s="99">
        <v>92.5</v>
      </c>
      <c r="G165" s="100">
        <f>92.5/2</f>
        <v>46.25</v>
      </c>
      <c r="H165" s="101"/>
      <c r="I165" s="101"/>
      <c r="J165" s="101"/>
      <c r="K165" s="101"/>
      <c r="L165" s="101"/>
      <c r="M165" s="101"/>
      <c r="N165" s="101"/>
      <c r="O165" s="101">
        <f>E165+G165</f>
        <v>87.015000000000001</v>
      </c>
      <c r="P165" s="101" t="s">
        <v>178</v>
      </c>
    </row>
    <row r="166" spans="1:16" s="102" customFormat="1" x14ac:dyDescent="0.3">
      <c r="A166" s="97" t="s">
        <v>334</v>
      </c>
      <c r="B166" s="97" t="s">
        <v>335</v>
      </c>
      <c r="C166" s="97" t="s">
        <v>19</v>
      </c>
      <c r="D166" s="98" t="s">
        <v>124</v>
      </c>
      <c r="E166" s="98">
        <f>76.9/2</f>
        <v>38.450000000000003</v>
      </c>
      <c r="F166" s="99">
        <v>95</v>
      </c>
      <c r="G166" s="100">
        <f>95/2</f>
        <v>47.5</v>
      </c>
      <c r="H166" s="101"/>
      <c r="I166" s="101"/>
      <c r="J166" s="101"/>
      <c r="K166" s="101"/>
      <c r="L166" s="101"/>
      <c r="M166" s="101"/>
      <c r="N166" s="101"/>
      <c r="O166" s="101">
        <f>E166+G166</f>
        <v>85.95</v>
      </c>
      <c r="P166" s="101" t="s">
        <v>178</v>
      </c>
    </row>
    <row r="167" spans="1:16" s="102" customFormat="1" x14ac:dyDescent="0.3">
      <c r="A167" s="97" t="s">
        <v>336</v>
      </c>
      <c r="B167" s="97" t="s">
        <v>245</v>
      </c>
      <c r="C167" s="97" t="s">
        <v>19</v>
      </c>
      <c r="D167" s="98" t="s">
        <v>156</v>
      </c>
      <c r="E167" s="98">
        <f>68.96/2</f>
        <v>34.479999999999997</v>
      </c>
      <c r="F167" s="99">
        <v>95</v>
      </c>
      <c r="G167" s="100">
        <f>95/2</f>
        <v>47.5</v>
      </c>
      <c r="H167" s="101"/>
      <c r="I167" s="101"/>
      <c r="J167" s="101"/>
      <c r="K167" s="101"/>
      <c r="L167" s="101"/>
      <c r="M167" s="101"/>
      <c r="N167" s="101"/>
      <c r="O167" s="101">
        <f>E167+G167</f>
        <v>81.97999999999999</v>
      </c>
      <c r="P167" s="101" t="s">
        <v>178</v>
      </c>
    </row>
    <row r="168" spans="1:16" s="102" customFormat="1" x14ac:dyDescent="0.3">
      <c r="A168" s="97" t="s">
        <v>337</v>
      </c>
      <c r="B168" s="97" t="s">
        <v>338</v>
      </c>
      <c r="C168" s="97" t="s">
        <v>19</v>
      </c>
      <c r="D168" s="98" t="s">
        <v>155</v>
      </c>
      <c r="E168" s="98">
        <f>73.16/2</f>
        <v>36.58</v>
      </c>
      <c r="F168" s="98">
        <v>87.5</v>
      </c>
      <c r="G168" s="100">
        <f>87.5/2</f>
        <v>43.75</v>
      </c>
      <c r="H168" s="101"/>
      <c r="I168" s="101"/>
      <c r="J168" s="101"/>
      <c r="K168" s="101"/>
      <c r="L168" s="101"/>
      <c r="M168" s="101"/>
      <c r="N168" s="101"/>
      <c r="O168" s="101">
        <f t="shared" ref="O168" si="15">E168+G168</f>
        <v>80.33</v>
      </c>
      <c r="P168" s="101" t="s">
        <v>178</v>
      </c>
    </row>
    <row r="169" spans="1:16" s="102" customFormat="1" x14ac:dyDescent="0.3">
      <c r="A169" s="97" t="s">
        <v>339</v>
      </c>
      <c r="B169" s="97" t="s">
        <v>340</v>
      </c>
      <c r="C169" s="97" t="s">
        <v>19</v>
      </c>
      <c r="D169" s="98" t="s">
        <v>157</v>
      </c>
      <c r="E169" s="98">
        <f>73.63/2</f>
        <v>36.814999999999998</v>
      </c>
      <c r="F169" s="99">
        <v>80</v>
      </c>
      <c r="G169" s="100">
        <f>80/2</f>
        <v>40</v>
      </c>
      <c r="H169" s="101"/>
      <c r="I169" s="101"/>
      <c r="J169" s="101"/>
      <c r="K169" s="101"/>
      <c r="L169" s="101"/>
      <c r="M169" s="101"/>
      <c r="N169" s="101"/>
      <c r="O169" s="101">
        <f>E169+G169</f>
        <v>76.814999999999998</v>
      </c>
      <c r="P169" s="101" t="s">
        <v>178</v>
      </c>
    </row>
    <row r="170" spans="1:16" s="38" customFormat="1" x14ac:dyDescent="0.3">
      <c r="A170" s="35" t="s">
        <v>329</v>
      </c>
      <c r="B170" s="35" t="s">
        <v>328</v>
      </c>
      <c r="C170" s="35" t="s">
        <v>9</v>
      </c>
      <c r="D170" s="69" t="s">
        <v>161</v>
      </c>
      <c r="E170" s="69">
        <f>85.3/2</f>
        <v>42.65</v>
      </c>
      <c r="F170" s="36">
        <v>85</v>
      </c>
      <c r="G170" s="87">
        <f>85/2</f>
        <v>42.5</v>
      </c>
      <c r="H170" s="37">
        <v>10</v>
      </c>
      <c r="I170" s="37"/>
      <c r="J170" s="37">
        <v>10</v>
      </c>
      <c r="K170" s="37"/>
      <c r="L170" s="37"/>
      <c r="M170" s="37"/>
      <c r="N170" s="37">
        <v>-10</v>
      </c>
      <c r="O170" s="37">
        <f>E170+G170+H170+J170+N170</f>
        <v>95.15</v>
      </c>
      <c r="P170" s="37" t="s">
        <v>179</v>
      </c>
    </row>
    <row r="171" spans="1:16" s="38" customFormat="1" x14ac:dyDescent="0.3">
      <c r="A171" s="35" t="s">
        <v>326</v>
      </c>
      <c r="B171" s="35" t="s">
        <v>327</v>
      </c>
      <c r="C171" s="35" t="s">
        <v>9</v>
      </c>
      <c r="D171" s="69" t="s">
        <v>159</v>
      </c>
      <c r="E171" s="69">
        <f>91.13/2</f>
        <v>45.564999999999998</v>
      </c>
      <c r="F171" s="36">
        <v>95</v>
      </c>
      <c r="G171" s="87">
        <f>95/2</f>
        <v>47.5</v>
      </c>
      <c r="H171" s="37"/>
      <c r="I171" s="37"/>
      <c r="J171" s="37"/>
      <c r="K171" s="37"/>
      <c r="L171" s="37"/>
      <c r="M171" s="37"/>
      <c r="N171" s="37"/>
      <c r="O171" s="37">
        <f t="shared" ref="O171:O178" si="16">E171+G171</f>
        <v>93.064999999999998</v>
      </c>
      <c r="P171" s="37" t="s">
        <v>178</v>
      </c>
    </row>
    <row r="172" spans="1:16" s="38" customFormat="1" x14ac:dyDescent="0.3">
      <c r="A172" s="35" t="s">
        <v>324</v>
      </c>
      <c r="B172" s="35" t="s">
        <v>325</v>
      </c>
      <c r="C172" s="35" t="s">
        <v>9</v>
      </c>
      <c r="D172" s="69" t="s">
        <v>137</v>
      </c>
      <c r="E172" s="69">
        <f>87.16/2</f>
        <v>43.58</v>
      </c>
      <c r="F172" s="36">
        <v>95</v>
      </c>
      <c r="G172" s="87">
        <f>95/2</f>
        <v>47.5</v>
      </c>
      <c r="H172" s="37"/>
      <c r="I172" s="37"/>
      <c r="J172" s="37"/>
      <c r="K172" s="37"/>
      <c r="L172" s="37"/>
      <c r="M172" s="37"/>
      <c r="N172" s="37"/>
      <c r="O172" s="37">
        <f t="shared" si="16"/>
        <v>91.08</v>
      </c>
      <c r="P172" s="37" t="s">
        <v>178</v>
      </c>
    </row>
    <row r="173" spans="1:16" s="38" customFormat="1" x14ac:dyDescent="0.3">
      <c r="A173" s="35" t="s">
        <v>322</v>
      </c>
      <c r="B173" s="35" t="s">
        <v>323</v>
      </c>
      <c r="C173" s="35" t="s">
        <v>9</v>
      </c>
      <c r="D173" s="69" t="s">
        <v>95</v>
      </c>
      <c r="E173" s="69">
        <f>81.8/2</f>
        <v>40.9</v>
      </c>
      <c r="F173" s="36">
        <v>95</v>
      </c>
      <c r="G173" s="87">
        <f>95/2</f>
        <v>47.5</v>
      </c>
      <c r="H173" s="37"/>
      <c r="I173" s="37"/>
      <c r="J173" s="37"/>
      <c r="K173" s="37"/>
      <c r="L173" s="37"/>
      <c r="M173" s="37"/>
      <c r="N173" s="37"/>
      <c r="O173" s="37">
        <f t="shared" si="16"/>
        <v>88.4</v>
      </c>
      <c r="P173" s="37" t="s">
        <v>178</v>
      </c>
    </row>
    <row r="174" spans="1:16" s="38" customFormat="1" x14ac:dyDescent="0.3">
      <c r="A174" s="35" t="s">
        <v>320</v>
      </c>
      <c r="B174" s="35" t="s">
        <v>321</v>
      </c>
      <c r="C174" s="35" t="s">
        <v>9</v>
      </c>
      <c r="D174" s="69" t="s">
        <v>145</v>
      </c>
      <c r="E174" s="69">
        <f>84.6/2</f>
        <v>42.3</v>
      </c>
      <c r="F174" s="36">
        <v>87.5</v>
      </c>
      <c r="G174" s="87">
        <f>87.5/2</f>
        <v>43.75</v>
      </c>
      <c r="H174" s="37"/>
      <c r="I174" s="37"/>
      <c r="J174" s="37"/>
      <c r="K174" s="37"/>
      <c r="L174" s="37"/>
      <c r="M174" s="37"/>
      <c r="N174" s="37"/>
      <c r="O174" s="37">
        <f t="shared" si="16"/>
        <v>86.05</v>
      </c>
      <c r="P174" s="37" t="s">
        <v>178</v>
      </c>
    </row>
    <row r="175" spans="1:16" s="38" customFormat="1" x14ac:dyDescent="0.3">
      <c r="A175" s="35" t="s">
        <v>318</v>
      </c>
      <c r="B175" s="35" t="s">
        <v>319</v>
      </c>
      <c r="C175" s="35" t="s">
        <v>9</v>
      </c>
      <c r="D175" s="69" t="s">
        <v>68</v>
      </c>
      <c r="E175" s="69">
        <f>82.03/2</f>
        <v>41.015000000000001</v>
      </c>
      <c r="F175" s="36">
        <v>90</v>
      </c>
      <c r="G175" s="87">
        <f>90/2</f>
        <v>45</v>
      </c>
      <c r="H175" s="37"/>
      <c r="I175" s="37"/>
      <c r="J175" s="37"/>
      <c r="K175" s="37"/>
      <c r="L175" s="37"/>
      <c r="M175" s="37"/>
      <c r="N175" s="37"/>
      <c r="O175" s="37">
        <f t="shared" si="16"/>
        <v>86.015000000000001</v>
      </c>
      <c r="P175" s="37" t="s">
        <v>178</v>
      </c>
    </row>
    <row r="176" spans="1:16" s="38" customFormat="1" x14ac:dyDescent="0.3">
      <c r="A176" s="35" t="s">
        <v>316</v>
      </c>
      <c r="B176" s="35" t="s">
        <v>317</v>
      </c>
      <c r="C176" s="35" t="s">
        <v>9</v>
      </c>
      <c r="D176" s="69" t="s">
        <v>158</v>
      </c>
      <c r="E176" s="69">
        <f>89.96/2</f>
        <v>44.98</v>
      </c>
      <c r="F176" s="36">
        <v>80</v>
      </c>
      <c r="G176" s="87">
        <f>80/2</f>
        <v>40</v>
      </c>
      <c r="H176" s="37"/>
      <c r="I176" s="37"/>
      <c r="J176" s="37"/>
      <c r="K176" s="37"/>
      <c r="L176" s="37"/>
      <c r="M176" s="37"/>
      <c r="N176" s="37"/>
      <c r="O176" s="37">
        <f t="shared" si="16"/>
        <v>84.97999999999999</v>
      </c>
      <c r="P176" s="37" t="s">
        <v>178</v>
      </c>
    </row>
    <row r="177" spans="1:16" s="38" customFormat="1" x14ac:dyDescent="0.3">
      <c r="A177" s="35" t="s">
        <v>314</v>
      </c>
      <c r="B177" s="35" t="s">
        <v>315</v>
      </c>
      <c r="C177" s="35" t="s">
        <v>9</v>
      </c>
      <c r="D177" s="69" t="s">
        <v>160</v>
      </c>
      <c r="E177" s="69">
        <f>75.26/2</f>
        <v>37.630000000000003</v>
      </c>
      <c r="F177" s="36">
        <v>90</v>
      </c>
      <c r="G177" s="87">
        <f>90/2</f>
        <v>45</v>
      </c>
      <c r="H177" s="37"/>
      <c r="I177" s="37"/>
      <c r="J177" s="37"/>
      <c r="K177" s="37"/>
      <c r="L177" s="37"/>
      <c r="M177" s="37"/>
      <c r="N177" s="37"/>
      <c r="O177" s="37">
        <f t="shared" si="16"/>
        <v>82.63</v>
      </c>
      <c r="P177" s="37" t="s">
        <v>178</v>
      </c>
    </row>
    <row r="178" spans="1:16" s="38" customFormat="1" x14ac:dyDescent="0.3">
      <c r="A178" s="35" t="s">
        <v>312</v>
      </c>
      <c r="B178" s="35" t="s">
        <v>313</v>
      </c>
      <c r="C178" s="35" t="s">
        <v>9</v>
      </c>
      <c r="D178" s="69" t="s">
        <v>162</v>
      </c>
      <c r="E178" s="69">
        <f>76.43/2</f>
        <v>38.215000000000003</v>
      </c>
      <c r="F178" s="69">
        <v>87.5</v>
      </c>
      <c r="G178" s="87">
        <f>87.5/2</f>
        <v>43.75</v>
      </c>
      <c r="H178" s="37"/>
      <c r="I178" s="37"/>
      <c r="J178" s="37"/>
      <c r="K178" s="37"/>
      <c r="L178" s="37"/>
      <c r="M178" s="37"/>
      <c r="N178" s="37"/>
      <c r="O178" s="37">
        <f t="shared" si="16"/>
        <v>81.965000000000003</v>
      </c>
      <c r="P178" s="37" t="s">
        <v>178</v>
      </c>
    </row>
    <row r="179" spans="1:16" s="38" customFormat="1" x14ac:dyDescent="0.3">
      <c r="A179" s="35" t="s">
        <v>310</v>
      </c>
      <c r="B179" s="35" t="s">
        <v>311</v>
      </c>
      <c r="C179" s="35" t="s">
        <v>9</v>
      </c>
      <c r="D179" s="69" t="s">
        <v>121</v>
      </c>
      <c r="E179" s="69">
        <f>72.23/2</f>
        <v>36.115000000000002</v>
      </c>
      <c r="F179" s="36">
        <v>85</v>
      </c>
      <c r="G179" s="87">
        <f>85/2</f>
        <v>42.5</v>
      </c>
      <c r="H179" s="37"/>
      <c r="I179" s="37"/>
      <c r="J179" s="37"/>
      <c r="K179" s="37"/>
      <c r="L179" s="37"/>
      <c r="M179" s="37"/>
      <c r="N179" s="37">
        <v>-10</v>
      </c>
      <c r="O179" s="37">
        <f>E179+G179+N179</f>
        <v>68.615000000000009</v>
      </c>
      <c r="P179" s="37" t="s">
        <v>178</v>
      </c>
    </row>
    <row r="180" spans="1:16" s="66" customFormat="1" x14ac:dyDescent="0.3">
      <c r="A180" s="63" t="s">
        <v>309</v>
      </c>
      <c r="B180" s="63"/>
      <c r="C180" s="63" t="s">
        <v>23</v>
      </c>
      <c r="D180" s="67" t="s">
        <v>155</v>
      </c>
      <c r="E180" s="67">
        <f>73.16/2</f>
        <v>36.58</v>
      </c>
      <c r="F180" s="67" t="s">
        <v>168</v>
      </c>
      <c r="G180" s="84">
        <f>92.5/2</f>
        <v>46.25</v>
      </c>
      <c r="H180" s="65"/>
      <c r="I180" s="65"/>
      <c r="J180" s="65"/>
      <c r="K180" s="65"/>
      <c r="L180" s="65"/>
      <c r="M180" s="65"/>
      <c r="N180" s="65"/>
      <c r="O180" s="65">
        <f>E180+G180</f>
        <v>82.83</v>
      </c>
      <c r="P180" s="65" t="s">
        <v>178</v>
      </c>
    </row>
    <row r="181" spans="1:16" s="3" customFormat="1" x14ac:dyDescent="0.3">
      <c r="A181" s="6" t="s">
        <v>303</v>
      </c>
      <c r="B181" s="96" t="s">
        <v>176</v>
      </c>
      <c r="C181" s="6" t="s">
        <v>16</v>
      </c>
      <c r="D181" s="7" t="s">
        <v>180</v>
      </c>
      <c r="E181" s="7">
        <f>71.76/2</f>
        <v>35.880000000000003</v>
      </c>
      <c r="F181" s="7" t="s">
        <v>168</v>
      </c>
      <c r="G181" s="88">
        <f>92.5/2</f>
        <v>46.25</v>
      </c>
      <c r="H181" s="8">
        <v>10</v>
      </c>
      <c r="I181" s="8"/>
      <c r="J181" s="8"/>
      <c r="K181" s="8"/>
      <c r="L181" s="8"/>
      <c r="M181" s="8"/>
      <c r="N181" s="8"/>
      <c r="O181" s="8">
        <f>E181+G181+H181</f>
        <v>92.13</v>
      </c>
      <c r="P181" s="8" t="s">
        <v>178</v>
      </c>
    </row>
    <row r="182" spans="1:16" s="3" customFormat="1" x14ac:dyDescent="0.3">
      <c r="A182" s="6" t="s">
        <v>304</v>
      </c>
      <c r="B182" s="96" t="s">
        <v>176</v>
      </c>
      <c r="C182" s="6" t="s">
        <v>24</v>
      </c>
      <c r="D182" s="7" t="s">
        <v>147</v>
      </c>
      <c r="E182" s="7">
        <f>73.16/2</f>
        <v>36.58</v>
      </c>
      <c r="F182" s="7" t="s">
        <v>177</v>
      </c>
      <c r="G182" s="88">
        <f>97.5/2</f>
        <v>48.75</v>
      </c>
      <c r="H182" s="8"/>
      <c r="I182" s="8"/>
      <c r="J182" s="8"/>
      <c r="K182" s="8"/>
      <c r="L182" s="8"/>
      <c r="M182" s="8"/>
      <c r="N182" s="8"/>
      <c r="O182" s="8">
        <f>E182+G182</f>
        <v>85.33</v>
      </c>
      <c r="P182" s="8" t="s">
        <v>178</v>
      </c>
    </row>
    <row r="183" spans="1:16" s="3" customFormat="1" x14ac:dyDescent="0.3">
      <c r="A183" s="6" t="s">
        <v>305</v>
      </c>
      <c r="B183" s="96" t="s">
        <v>176</v>
      </c>
      <c r="C183" s="6" t="s">
        <v>21</v>
      </c>
      <c r="D183" s="7" t="s">
        <v>154</v>
      </c>
      <c r="E183" s="7">
        <f>79.23/2</f>
        <v>39.615000000000002</v>
      </c>
      <c r="F183" s="7" t="s">
        <v>175</v>
      </c>
      <c r="G183" s="88">
        <f>91.25/2</f>
        <v>45.625</v>
      </c>
      <c r="H183" s="8"/>
      <c r="I183" s="8"/>
      <c r="J183" s="8"/>
      <c r="K183" s="8"/>
      <c r="L183" s="8"/>
      <c r="M183" s="8"/>
      <c r="N183" s="8"/>
      <c r="O183" s="8">
        <f>E183+G183</f>
        <v>85.240000000000009</v>
      </c>
      <c r="P183" s="8" t="s">
        <v>178</v>
      </c>
    </row>
    <row r="184" spans="1:16" s="3" customFormat="1" x14ac:dyDescent="0.3">
      <c r="A184" s="6" t="s">
        <v>306</v>
      </c>
      <c r="B184" s="96" t="s">
        <v>176</v>
      </c>
      <c r="C184" s="6" t="s">
        <v>14</v>
      </c>
      <c r="D184" s="7" t="s">
        <v>56</v>
      </c>
      <c r="E184" s="7">
        <f>83.9/2</f>
        <v>41.95</v>
      </c>
      <c r="F184" s="7" t="s">
        <v>173</v>
      </c>
      <c r="G184" s="88">
        <f>81.25/2</f>
        <v>40.625</v>
      </c>
      <c r="H184" s="8"/>
      <c r="I184" s="8"/>
      <c r="J184" s="8"/>
      <c r="K184" s="8"/>
      <c r="L184" s="8"/>
      <c r="M184" s="8"/>
      <c r="N184" s="8"/>
      <c r="O184" s="8">
        <f>E184+G184</f>
        <v>82.575000000000003</v>
      </c>
      <c r="P184" s="8" t="s">
        <v>178</v>
      </c>
    </row>
    <row r="185" spans="1:16" s="3" customFormat="1" x14ac:dyDescent="0.3">
      <c r="A185" s="6" t="s">
        <v>307</v>
      </c>
      <c r="B185" s="96" t="s">
        <v>176</v>
      </c>
      <c r="C185" s="6" t="s">
        <v>27</v>
      </c>
      <c r="D185" s="7" t="s">
        <v>181</v>
      </c>
      <c r="E185" s="7">
        <f>80.13/2</f>
        <v>40.064999999999998</v>
      </c>
      <c r="F185" s="7" t="s">
        <v>173</v>
      </c>
      <c r="G185" s="88">
        <f>81.25/2</f>
        <v>40.625</v>
      </c>
      <c r="H185" s="8"/>
      <c r="I185" s="8"/>
      <c r="J185" s="8"/>
      <c r="K185" s="8"/>
      <c r="L185" s="8"/>
      <c r="M185" s="8"/>
      <c r="N185" s="8"/>
      <c r="O185" s="8">
        <f>E185+G185</f>
        <v>80.69</v>
      </c>
      <c r="P185" s="8" t="s">
        <v>178</v>
      </c>
    </row>
    <row r="186" spans="1:16" s="3" customFormat="1" x14ac:dyDescent="0.3">
      <c r="A186" s="6" t="s">
        <v>308</v>
      </c>
      <c r="B186" s="96" t="s">
        <v>176</v>
      </c>
      <c r="C186" s="6" t="s">
        <v>26</v>
      </c>
      <c r="D186" s="7" t="s">
        <v>43</v>
      </c>
      <c r="E186" s="7">
        <f>79/2</f>
        <v>39.5</v>
      </c>
      <c r="F186" s="7">
        <v>80</v>
      </c>
      <c r="G186" s="88">
        <f>80/2</f>
        <v>40</v>
      </c>
      <c r="H186" s="8"/>
      <c r="I186" s="8"/>
      <c r="J186" s="8"/>
      <c r="K186" s="8"/>
      <c r="L186" s="8"/>
      <c r="M186" s="8"/>
      <c r="N186" s="8"/>
      <c r="O186" s="8">
        <f t="shared" ref="O186" si="17">E186+G186</f>
        <v>79.5</v>
      </c>
      <c r="P186" s="8" t="s">
        <v>178</v>
      </c>
    </row>
    <row r="187" spans="1:16" s="3" customFormat="1" x14ac:dyDescent="0.3">
      <c r="A187" s="6" t="s">
        <v>293</v>
      </c>
      <c r="B187" s="96" t="s">
        <v>176</v>
      </c>
      <c r="C187" s="6" t="s">
        <v>24</v>
      </c>
      <c r="D187" s="7">
        <v>76.87</v>
      </c>
      <c r="E187" s="7">
        <f>76.87/2</f>
        <v>38.435000000000002</v>
      </c>
      <c r="F187" s="7" t="s">
        <v>174</v>
      </c>
      <c r="G187" s="88">
        <f>77.5/2</f>
        <v>38.75</v>
      </c>
      <c r="H187" s="8"/>
      <c r="I187" s="8"/>
      <c r="J187" s="8"/>
      <c r="K187" s="8"/>
      <c r="L187" s="8"/>
      <c r="M187" s="8"/>
      <c r="N187" s="8"/>
      <c r="O187" s="8">
        <f>E187+G187</f>
        <v>77.185000000000002</v>
      </c>
      <c r="P187" s="8" t="s">
        <v>178</v>
      </c>
    </row>
  </sheetData>
  <autoFilter ref="A1:F1" xr:uid="{00000000-0009-0000-0000-000000000000}">
    <sortState xmlns:xlrd2="http://schemas.microsoft.com/office/spreadsheetml/2017/richdata2" ref="A2:F242">
      <sortCondition ref="C1"/>
    </sortState>
  </autoFilter>
  <pageMargins left="0.7" right="0.7" top="0.75" bottom="0.75" header="0.3" footer="0.3"/>
  <pageSetup paperSize="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2023-03-29T10:41:25Z</dcterms:modified>
  <cp:category/>
</cp:coreProperties>
</file>